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S\Documents\"/>
    </mc:Choice>
  </mc:AlternateContent>
  <xr:revisionPtr revIDLastSave="0" documentId="13_ncr:1_{327AF3B6-A2A4-4F38-A45F-29C125EA65B5}" xr6:coauthVersionLast="40" xr6:coauthVersionMax="40" xr10:uidLastSave="{00000000-0000-0000-0000-000000000000}"/>
  <bookViews>
    <workbookView xWindow="-120" yWindow="-120" windowWidth="20730" windowHeight="11160" activeTab="5" xr2:uid="{C17F6795-0AE6-4573-A9B7-D4EE0A39EA19}"/>
  </bookViews>
  <sheets>
    <sheet name="P5-2" sheetId="1" r:id="rId1"/>
    <sheet name="P5-6" sheetId="2" r:id="rId2"/>
    <sheet name="P5-14" sheetId="3" r:id="rId3"/>
    <sheet name="P5-22" sheetId="4" r:id="rId4"/>
    <sheet name="P5-29" sheetId="5" r:id="rId5"/>
    <sheet name="P5-39" sheetId="6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6" l="1"/>
  <c r="A19" i="6"/>
  <c r="A21" i="6"/>
  <c r="L23" i="6"/>
  <c r="K23" i="6"/>
  <c r="J23" i="6"/>
  <c r="A33" i="6"/>
  <c r="A31" i="6"/>
  <c r="A29" i="6"/>
  <c r="A27" i="6"/>
  <c r="A23" i="6"/>
  <c r="A38" i="6" s="1"/>
  <c r="F21" i="6"/>
  <c r="J8" i="5" l="1"/>
  <c r="J4" i="5"/>
  <c r="AO50" i="4"/>
  <c r="AP50" i="4" s="1"/>
  <c r="AJ50" i="4"/>
  <c r="AK50" i="4" s="1"/>
  <c r="AO49" i="4"/>
  <c r="AP49" i="4" s="1"/>
  <c r="AJ49" i="4"/>
  <c r="AK49" i="4" s="1"/>
  <c r="AO48" i="4"/>
  <c r="AP48" i="4" s="1"/>
  <c r="AJ48" i="4"/>
  <c r="AK48" i="4" s="1"/>
  <c r="AO47" i="4"/>
  <c r="AP47" i="4" s="1"/>
  <c r="AK47" i="4"/>
  <c r="AJ47" i="4"/>
  <c r="AO46" i="4"/>
  <c r="AP46" i="4" s="1"/>
  <c r="AJ46" i="4"/>
  <c r="AK46" i="4" s="1"/>
  <c r="AO45" i="4"/>
  <c r="AP45" i="4" s="1"/>
  <c r="AJ45" i="4"/>
  <c r="AK45" i="4" s="1"/>
  <c r="AO44" i="4"/>
  <c r="AP44" i="4" s="1"/>
  <c r="AJ44" i="4"/>
  <c r="AK44" i="4" s="1"/>
  <c r="AO43" i="4"/>
  <c r="AP43" i="4" s="1"/>
  <c r="AK43" i="4"/>
  <c r="AJ43" i="4"/>
  <c r="AO42" i="4"/>
  <c r="AP42" i="4" s="1"/>
  <c r="AJ42" i="4"/>
  <c r="AK42" i="4" s="1"/>
  <c r="AO41" i="4"/>
  <c r="AP41" i="4" s="1"/>
  <c r="AJ41" i="4"/>
  <c r="AK41" i="4" s="1"/>
  <c r="AO40" i="4"/>
  <c r="AP40" i="4" s="1"/>
  <c r="AJ40" i="4"/>
  <c r="AK40" i="4" s="1"/>
  <c r="AO39" i="4"/>
  <c r="AP39" i="4" s="1"/>
  <c r="AK39" i="4"/>
  <c r="AJ39" i="4"/>
  <c r="AO38" i="4"/>
  <c r="AP38" i="4" s="1"/>
  <c r="AJ38" i="4"/>
  <c r="AK38" i="4" s="1"/>
  <c r="AO37" i="4"/>
  <c r="AP37" i="4" s="1"/>
  <c r="AJ37" i="4"/>
  <c r="AK37" i="4" s="1"/>
  <c r="AO36" i="4"/>
  <c r="AP36" i="4" s="1"/>
  <c r="AJ36" i="4"/>
  <c r="AK36" i="4" s="1"/>
  <c r="AO35" i="4"/>
  <c r="AP35" i="4" s="1"/>
  <c r="AK35" i="4"/>
  <c r="AJ35" i="4"/>
  <c r="AO34" i="4"/>
  <c r="AP34" i="4" s="1"/>
  <c r="AJ34" i="4"/>
  <c r="AK34" i="4" s="1"/>
  <c r="AO33" i="4"/>
  <c r="AP33" i="4" s="1"/>
  <c r="AJ33" i="4"/>
  <c r="AK33" i="4" s="1"/>
  <c r="AO32" i="4"/>
  <c r="AP32" i="4" s="1"/>
  <c r="AJ32" i="4"/>
  <c r="AK32" i="4" s="1"/>
  <c r="AO31" i="4"/>
  <c r="AP31" i="4" s="1"/>
  <c r="AK31" i="4"/>
  <c r="AJ31" i="4"/>
  <c r="AO30" i="4"/>
  <c r="AP30" i="4" s="1"/>
  <c r="AJ30" i="4"/>
  <c r="AK30" i="4" s="1"/>
  <c r="AO29" i="4"/>
  <c r="AP29" i="4" s="1"/>
  <c r="AJ29" i="4"/>
  <c r="AK29" i="4" s="1"/>
  <c r="AO28" i="4"/>
  <c r="AP28" i="4" s="1"/>
  <c r="AJ28" i="4"/>
  <c r="AK28" i="4" s="1"/>
  <c r="AO27" i="4"/>
  <c r="AP27" i="4" s="1"/>
  <c r="AJ27" i="4"/>
  <c r="AK27" i="4" s="1"/>
  <c r="AO26" i="4"/>
  <c r="AP26" i="4" s="1"/>
  <c r="AJ26" i="4"/>
  <c r="AK26" i="4" s="1"/>
  <c r="AO25" i="4"/>
  <c r="AP25" i="4" s="1"/>
  <c r="AJ25" i="4"/>
  <c r="AK25" i="4" s="1"/>
  <c r="AO24" i="4"/>
  <c r="AP24" i="4" s="1"/>
  <c r="AJ24" i="4"/>
  <c r="AK24" i="4" s="1"/>
  <c r="AO23" i="4"/>
  <c r="AP23" i="4" s="1"/>
  <c r="AJ23" i="4"/>
  <c r="AK23" i="4" s="1"/>
  <c r="AO22" i="4"/>
  <c r="AP22" i="4" s="1"/>
  <c r="AJ22" i="4"/>
  <c r="AK22" i="4" s="1"/>
  <c r="AO21" i="4"/>
  <c r="AP21" i="4" s="1"/>
  <c r="AJ21" i="4"/>
  <c r="AK21" i="4" s="1"/>
  <c r="AO20" i="4"/>
  <c r="AP20" i="4" s="1"/>
  <c r="AJ20" i="4"/>
  <c r="AK20" i="4" s="1"/>
  <c r="AO19" i="4"/>
  <c r="AP19" i="4" s="1"/>
  <c r="AJ19" i="4"/>
  <c r="AK19" i="4" s="1"/>
  <c r="AO18" i="4"/>
  <c r="AP18" i="4" s="1"/>
  <c r="AJ18" i="4"/>
  <c r="AK18" i="4" s="1"/>
  <c r="AO17" i="4"/>
  <c r="AP17" i="4" s="1"/>
  <c r="AJ17" i="4"/>
  <c r="AK17" i="4" s="1"/>
  <c r="AO16" i="4"/>
  <c r="AP16" i="4" s="1"/>
  <c r="AJ16" i="4"/>
  <c r="AK16" i="4" s="1"/>
  <c r="AO15" i="4"/>
  <c r="AP15" i="4" s="1"/>
  <c r="AJ15" i="4"/>
  <c r="AK15" i="4" s="1"/>
  <c r="AO14" i="4"/>
  <c r="AP14" i="4" s="1"/>
  <c r="AJ14" i="4"/>
  <c r="AK14" i="4" s="1"/>
  <c r="AO13" i="4"/>
  <c r="AP13" i="4" s="1"/>
  <c r="AJ13" i="4"/>
  <c r="AK13" i="4" s="1"/>
  <c r="AO12" i="4"/>
  <c r="AP12" i="4" s="1"/>
  <c r="AJ12" i="4"/>
  <c r="AK12" i="4" s="1"/>
  <c r="AO11" i="4"/>
  <c r="AP11" i="4" s="1"/>
  <c r="AJ11" i="4"/>
  <c r="AK11" i="4" s="1"/>
  <c r="AO10" i="4"/>
  <c r="AP10" i="4" s="1"/>
  <c r="AJ10" i="4"/>
  <c r="AK10" i="4" s="1"/>
  <c r="T50" i="4"/>
  <c r="U50" i="4" s="1"/>
  <c r="T49" i="4"/>
  <c r="U49" i="4" s="1"/>
  <c r="T48" i="4"/>
  <c r="U48" i="4" s="1"/>
  <c r="T47" i="4"/>
  <c r="U47" i="4" s="1"/>
  <c r="T46" i="4"/>
  <c r="U46" i="4" s="1"/>
  <c r="T45" i="4"/>
  <c r="U45" i="4" s="1"/>
  <c r="T44" i="4"/>
  <c r="U44" i="4" s="1"/>
  <c r="U43" i="4"/>
  <c r="T43" i="4"/>
  <c r="T42" i="4"/>
  <c r="U42" i="4" s="1"/>
  <c r="T41" i="4"/>
  <c r="U41" i="4" s="1"/>
  <c r="T40" i="4"/>
  <c r="U40" i="4" s="1"/>
  <c r="T39" i="4"/>
  <c r="U39" i="4" s="1"/>
  <c r="T38" i="4"/>
  <c r="U38" i="4" s="1"/>
  <c r="T37" i="4"/>
  <c r="U37" i="4" s="1"/>
  <c r="T36" i="4"/>
  <c r="U36" i="4" s="1"/>
  <c r="U35" i="4"/>
  <c r="T35" i="4"/>
  <c r="T34" i="4"/>
  <c r="U34" i="4" s="1"/>
  <c r="T33" i="4"/>
  <c r="U33" i="4" s="1"/>
  <c r="T32" i="4"/>
  <c r="U32" i="4" s="1"/>
  <c r="T31" i="4"/>
  <c r="U31" i="4" s="1"/>
  <c r="T30" i="4"/>
  <c r="U30" i="4" s="1"/>
  <c r="T29" i="4"/>
  <c r="U29" i="4" s="1"/>
  <c r="T28" i="4"/>
  <c r="U28" i="4" s="1"/>
  <c r="U27" i="4"/>
  <c r="T27" i="4"/>
  <c r="T26" i="4"/>
  <c r="U26" i="4" s="1"/>
  <c r="T25" i="4"/>
  <c r="U25" i="4" s="1"/>
  <c r="T24" i="4"/>
  <c r="U24" i="4" s="1"/>
  <c r="T23" i="4"/>
  <c r="U23" i="4" s="1"/>
  <c r="T22" i="4"/>
  <c r="U22" i="4" s="1"/>
  <c r="T21" i="4"/>
  <c r="U21" i="4" s="1"/>
  <c r="T20" i="4"/>
  <c r="U20" i="4" s="1"/>
  <c r="U19" i="4"/>
  <c r="T19" i="4"/>
  <c r="T18" i="4"/>
  <c r="U18" i="4" s="1"/>
  <c r="T17" i="4"/>
  <c r="U17" i="4" s="1"/>
  <c r="T16" i="4"/>
  <c r="U16" i="4" s="1"/>
  <c r="T15" i="4"/>
  <c r="U15" i="4" s="1"/>
  <c r="T14" i="4"/>
  <c r="U14" i="4" s="1"/>
  <c r="T13" i="4"/>
  <c r="U13" i="4" s="1"/>
  <c r="T12" i="4"/>
  <c r="U12" i="4" s="1"/>
  <c r="T11" i="4"/>
  <c r="U11" i="4" s="1"/>
  <c r="T10" i="4"/>
  <c r="U10" i="4" s="1"/>
  <c r="N46" i="4"/>
  <c r="O46" i="4" s="1"/>
  <c r="O45" i="4"/>
  <c r="N45" i="4"/>
  <c r="N44" i="4"/>
  <c r="O44" i="4" s="1"/>
  <c r="O43" i="4"/>
  <c r="N43" i="4"/>
  <c r="N42" i="4"/>
  <c r="O42" i="4" s="1"/>
  <c r="O41" i="4"/>
  <c r="N41" i="4"/>
  <c r="N40" i="4"/>
  <c r="O40" i="4" s="1"/>
  <c r="O39" i="4"/>
  <c r="N39" i="4"/>
  <c r="N38" i="4"/>
  <c r="O38" i="4" s="1"/>
  <c r="O37" i="4"/>
  <c r="N37" i="4"/>
  <c r="N36" i="4"/>
  <c r="O36" i="4" s="1"/>
  <c r="O35" i="4"/>
  <c r="N35" i="4"/>
  <c r="N34" i="4"/>
  <c r="O34" i="4" s="1"/>
  <c r="O33" i="4"/>
  <c r="N33" i="4"/>
  <c r="N32" i="4"/>
  <c r="O32" i="4" s="1"/>
  <c r="O31" i="4"/>
  <c r="N31" i="4"/>
  <c r="N30" i="4"/>
  <c r="O30" i="4" s="1"/>
  <c r="O29" i="4"/>
  <c r="N29" i="4"/>
  <c r="N28" i="4"/>
  <c r="O28" i="4" s="1"/>
  <c r="O27" i="4"/>
  <c r="N27" i="4"/>
  <c r="N26" i="4"/>
  <c r="O26" i="4" s="1"/>
  <c r="O25" i="4"/>
  <c r="N25" i="4"/>
  <c r="N24" i="4"/>
  <c r="O24" i="4" s="1"/>
  <c r="O23" i="4"/>
  <c r="N23" i="4"/>
  <c r="N22" i="4"/>
  <c r="O22" i="4" s="1"/>
  <c r="O21" i="4"/>
  <c r="N21" i="4"/>
  <c r="N20" i="4"/>
  <c r="O20" i="4" s="1"/>
  <c r="O19" i="4"/>
  <c r="N19" i="4"/>
  <c r="N18" i="4"/>
  <c r="O18" i="4" s="1"/>
  <c r="O17" i="4"/>
  <c r="N17" i="4"/>
  <c r="N16" i="4"/>
  <c r="O16" i="4" s="1"/>
  <c r="N15" i="4"/>
  <c r="O15" i="4" s="1"/>
  <c r="N14" i="4"/>
  <c r="O14" i="4" s="1"/>
  <c r="N13" i="4"/>
  <c r="O13" i="4" s="1"/>
  <c r="N12" i="4"/>
  <c r="O12" i="4" s="1"/>
  <c r="N11" i="4"/>
  <c r="O11" i="4" s="1"/>
  <c r="N10" i="4"/>
  <c r="O10" i="4" s="1"/>
  <c r="N9" i="4"/>
  <c r="O9" i="4" s="1"/>
  <c r="N8" i="4"/>
  <c r="O8" i="4" s="1"/>
  <c r="N7" i="4"/>
  <c r="O7" i="4" s="1"/>
  <c r="N6" i="4"/>
  <c r="O6" i="4" s="1"/>
  <c r="O47" i="4" s="1"/>
  <c r="C7" i="3"/>
  <c r="O21" i="2"/>
  <c r="B21" i="2"/>
  <c r="H8" i="2" s="1"/>
  <c r="O16" i="2"/>
  <c r="B16" i="2"/>
  <c r="AK51" i="4" l="1"/>
  <c r="AP51" i="4"/>
  <c r="U51" i="4"/>
  <c r="C15" i="1"/>
  <c r="E15" i="1" s="1"/>
  <c r="C14" i="1"/>
  <c r="E14" i="1" s="1"/>
  <c r="C13" i="1"/>
  <c r="E13" i="1" s="1"/>
  <c r="C12" i="1"/>
  <c r="E12" i="1" s="1"/>
</calcChain>
</file>

<file path=xl/sharedStrings.xml><?xml version="1.0" encoding="utf-8"?>
<sst xmlns="http://schemas.openxmlformats.org/spreadsheetml/2006/main" count="191" uniqueCount="135">
  <si>
    <t>Future Value Calculation</t>
  </si>
  <si>
    <t>Without referring to the preprogrammed function on your finanical calculator, use</t>
  </si>
  <si>
    <t>basic formula for future value along with the given interest rate, r, and the number</t>
  </si>
  <si>
    <t xml:space="preserve">of periods, n, to calculate the future value of $1 in each of the cases shown in the </t>
  </si>
  <si>
    <t>following table.</t>
  </si>
  <si>
    <t>Case</t>
  </si>
  <si>
    <t>Interest, r</t>
  </si>
  <si>
    <t># of periods, n</t>
  </si>
  <si>
    <t>PV</t>
  </si>
  <si>
    <t>A</t>
  </si>
  <si>
    <t xml:space="preserve">B </t>
  </si>
  <si>
    <t xml:space="preserve">C </t>
  </si>
  <si>
    <t>D</t>
  </si>
  <si>
    <t>FV=</t>
  </si>
  <si>
    <r>
      <t>PV  x (1 + r)</t>
    </r>
    <r>
      <rPr>
        <b/>
        <vertAlign val="superscript"/>
        <sz val="11"/>
        <color theme="1"/>
        <rFont val="Calibri"/>
        <family val="2"/>
        <scheme val="minor"/>
      </rPr>
      <t>n</t>
    </r>
  </si>
  <si>
    <t>A.</t>
  </si>
  <si>
    <t>$1 x</t>
  </si>
  <si>
    <t>B.</t>
  </si>
  <si>
    <t>C.</t>
  </si>
  <si>
    <t>D.</t>
  </si>
  <si>
    <t>As part of your financial planning, you wish to purchase a new car exactly</t>
  </si>
  <si>
    <t>5 years from today. The car you wish to purchase costs $14,000 today, and</t>
  </si>
  <si>
    <t>your research indicates that its price will increase by 2% to 4% per year over the</t>
  </si>
  <si>
    <t>next 5 years.</t>
  </si>
  <si>
    <t>a. Estimate the price of the car at the end of 5 years if inflation is (1) 2% per year</t>
  </si>
  <si>
    <t>b. How much more expensive will the car be if the rate of inflation is 4% rather</t>
  </si>
  <si>
    <t>c. Estimate the price of the car if inflation is 2% for the next 2 years and 4% for</t>
  </si>
  <si>
    <t>and (2) 4% per year.</t>
  </si>
  <si>
    <t>than 2%?</t>
  </si>
  <si>
    <t>3 years after that.</t>
  </si>
  <si>
    <t>FVn =</t>
  </si>
  <si>
    <t>PV x (1+r)^n</t>
  </si>
  <si>
    <t>The car will cost</t>
  </si>
  <si>
    <t>more if the interest rate is 4% instead of 2%</t>
  </si>
  <si>
    <t>Present value</t>
  </si>
  <si>
    <t>Interest rate</t>
  </si>
  <si>
    <t># of Years</t>
  </si>
  <si>
    <t>14000 (1+0.02)^5</t>
  </si>
  <si>
    <t>14000 (1+0.02)^2</t>
  </si>
  <si>
    <t>2) 4%</t>
  </si>
  <si>
    <t>2) 4% for 3 Years</t>
  </si>
  <si>
    <t>14000 (1+0.04)^5</t>
  </si>
  <si>
    <t>14565.60 (1+0.04)^3</t>
  </si>
  <si>
    <t>Time value An Iowa state savings bond can be converted to $100 at maturity</t>
  </si>
  <si>
    <t>6 years from purchase. If the state bonds are to be competitive with U.S. savings</t>
  </si>
  <si>
    <t>bonds, which pay 8% annual interest (compounded annually), at what price</t>
  </si>
  <si>
    <t>must the state sell its bonds? Assume no cash payments on savings bonds prior</t>
  </si>
  <si>
    <t>to redemption.</t>
  </si>
  <si>
    <t>PV= 100 X (1.08)^-6</t>
  </si>
  <si>
    <t>Retirement planning. Hal Thomas, a 25-year-old college graduate, wishes to retire at</t>
  </si>
  <si>
    <t>age 65. To supplement other sources of retirement income, he can deposit $2,000</t>
  </si>
  <si>
    <t>each year into a tax-deferred individual retirement arrangement (IRA). The IRA will</t>
  </si>
  <si>
    <t>earn a 10% return over the next 40 years.</t>
  </si>
  <si>
    <r>
      <t>a.</t>
    </r>
    <r>
      <rPr>
        <sz val="11"/>
        <color theme="1"/>
        <rFont val="Calibri"/>
        <family val="2"/>
        <scheme val="minor"/>
      </rPr>
      <t xml:space="preserve"> If Hal makes annual end-of-year $2,000 deposits into the IRA, how much will he</t>
    </r>
  </si>
  <si>
    <t>have accumulated by the end of his sixty-fifth year?</t>
  </si>
  <si>
    <r>
      <t>b</t>
    </r>
    <r>
      <rPr>
        <sz val="11"/>
        <color theme="1"/>
        <rFont val="Calibri"/>
        <family val="2"/>
        <scheme val="minor"/>
      </rPr>
      <t>. If Hal decides to wait until age 35 to begin making annual end-of-year $2,000</t>
    </r>
  </si>
  <si>
    <t>deposits into the IRA, how much will he have accumulated by the end of his</t>
  </si>
  <si>
    <t>sixty-fifth year?</t>
  </si>
  <si>
    <r>
      <t>c.</t>
    </r>
    <r>
      <rPr>
        <sz val="11"/>
        <color theme="1"/>
        <rFont val="Calibri"/>
        <family val="2"/>
        <scheme val="minor"/>
      </rPr>
      <t xml:space="preserve"> Using your findings in parts a and b, discuss the impact of delaying making deposits</t>
    </r>
  </si>
  <si>
    <t>into the IRA for 10 years (age 25 to age 35) on the amount accumulated</t>
  </si>
  <si>
    <t>by the end of Hal’s sixty-fifth year.</t>
  </si>
  <si>
    <r>
      <t>d.</t>
    </r>
    <r>
      <rPr>
        <sz val="11"/>
        <color theme="1"/>
        <rFont val="Calibri"/>
        <family val="2"/>
        <scheme val="minor"/>
      </rPr>
      <t xml:space="preserve"> Rework parts a, b, and c, assuming that Hal makes all deposits at the beginning,</t>
    </r>
  </si>
  <si>
    <t>rather than the end, of each year. Discuss the effect of beginning-of-year deposits</t>
  </si>
  <si>
    <t>on the future value accumulated by the end of Hal’s sixty-fifth year.</t>
  </si>
  <si>
    <t>a.</t>
  </si>
  <si>
    <t>Hal Thomas, Retirement Planning</t>
  </si>
  <si>
    <t>Discount Rate</t>
  </si>
  <si>
    <t xml:space="preserve">Year </t>
  </si>
  <si>
    <t>Deposits</t>
  </si>
  <si>
    <t xml:space="preserve">FV Interest </t>
  </si>
  <si>
    <t>Future Value</t>
  </si>
  <si>
    <t>(1+r)^number of years to mature</t>
  </si>
  <si>
    <t>FV Interest * Deposit</t>
  </si>
  <si>
    <t>Future Value of Retirement</t>
  </si>
  <si>
    <t>b. If Hal decides to wait until age 35 to begin making annual end-of-year $2,000</t>
  </si>
  <si>
    <t>b.</t>
  </si>
  <si>
    <t>c. Using your findings in parts a and b, discuss the impact of delaying making deposits</t>
  </si>
  <si>
    <t>d. Rework parts a, b, and c, assuming that Hal makes all deposits at the beginning,</t>
  </si>
  <si>
    <t xml:space="preserve">If Hal starts saving at age 25 he will save $975,703.62. But, if he waits start saving when he is 35 </t>
  </si>
  <si>
    <t>d./a.</t>
  </si>
  <si>
    <t>d./b.</t>
  </si>
  <si>
    <t>d./c.</t>
  </si>
  <si>
    <t xml:space="preserve">If Hal starts saving at age 25 at the beginning of each month, he will save $1,073,273.98 But, if he waits start </t>
  </si>
  <si>
    <t xml:space="preserve">he will only save $363,886.75. Hal needs to start saving early because those critical first 10 years will </t>
  </si>
  <si>
    <t xml:space="preserve">saving when he is 35 he will only save $400,275.53. Hal needs to start saving early because those critical first 10 years will </t>
  </si>
  <si>
    <t xml:space="preserve">accumulate much more interest and provide better returns since they have much more time to mature.             </t>
  </si>
  <si>
    <t>By making payments at the beginning of the year, Hal will save approximately 10% more.</t>
  </si>
  <si>
    <t>Value of a single amount versus a mixed stream. Gina Vitale has just contracted</t>
  </si>
  <si>
    <t>to sell a small parcel of land that she inherited a few years ago. The buyer is willing to</t>
  </si>
  <si>
    <t>pay $24,000 at the closing of the transaction or will pay the amounts shown in the</t>
  </si>
  <si>
    <t>following table at the beginning of each of the next 5 years. Because Gina doesn’t</t>
  </si>
  <si>
    <t>really need the money today, she plans to let it accumulate in an account that earns</t>
  </si>
  <si>
    <t>7% annual interest. Given her desire to buy a house at the end of 5 years after closing</t>
  </si>
  <si>
    <t>on the sale of the lot, she decides to choose the payment alternative—$24,000 single</t>
  </si>
  <si>
    <t>amount or the mixed stream of payments in the following table—that provides the</t>
  </si>
  <si>
    <t>higher future value at the end of 5 years. Which alternative will she choose?</t>
  </si>
  <si>
    <t>If the takes the $24,000 and invests it at 7% for 5 Years it will yield:</t>
  </si>
  <si>
    <t>FV=PV*(1+i)^n</t>
  </si>
  <si>
    <t>If she goes with option 2 and takes the mixed stream of payments it will break down as follows:</t>
  </si>
  <si>
    <t>FV = 2000*(1+7%)^5 +4000*(1+7%)^4 +6000*(1+7%)^3 +8000*(1+7%)^2 +10000*(1+7%)^1</t>
  </si>
  <si>
    <t>Clearly option 2 will make her a little more money in the long run.</t>
  </si>
  <si>
    <t>Beginning of year</t>
  </si>
  <si>
    <t>Mixed Stream</t>
  </si>
  <si>
    <t>Cash Flow ($)</t>
  </si>
  <si>
    <t>Interest is compounded annually at 8% for 10 years</t>
  </si>
  <si>
    <t>Interest is compounded semiannually at 8% divided by 2 for 20 periods</t>
  </si>
  <si>
    <t>Interest is compounded daily at 8% divided by 365 for 10 years (3650 days)</t>
  </si>
  <si>
    <t>Interest is compounded continuously at 8% for 10 years</t>
  </si>
  <si>
    <t>b. What is the effective annual rate (EAR) for each compounding period in part a?</t>
  </si>
  <si>
    <t>Interest is compounded annually</t>
  </si>
  <si>
    <t>Interest is compounded semiannually</t>
  </si>
  <si>
    <t>Interest is compounded daily</t>
  </si>
  <si>
    <t>Interest is compounded continuously</t>
  </si>
  <si>
    <t>c. How much greater will your IRA balance be at the end of 10 years if interest is</t>
  </si>
  <si>
    <t>compounded continuously rather than annually?</t>
  </si>
  <si>
    <t>d. How does the compounding frequency affect the future value and effective annual</t>
  </si>
  <si>
    <t>rate for a given deposit? Explain in terms of your findings in parts a through c.</t>
  </si>
  <si>
    <t>Frequency</t>
  </si>
  <si>
    <t>Annual</t>
  </si>
  <si>
    <t>Semiannual</t>
  </si>
  <si>
    <t>Daily</t>
  </si>
  <si>
    <t>Continuous</t>
  </si>
  <si>
    <t>FV</t>
  </si>
  <si>
    <t>EAR</t>
  </si>
  <si>
    <t>Difference</t>
  </si>
  <si>
    <t>FV and EAR increases as the frequency increases as displayed in the table above.</t>
  </si>
  <si>
    <t>Compounding frequency and time value. You plan to invest $2,000 in an individual</t>
  </si>
  <si>
    <t>retirement arrangement (IRA) today at a nominal annual rate of 8%, which is expected</t>
  </si>
  <si>
    <t>to apply to all future years.</t>
  </si>
  <si>
    <r>
      <t>a.</t>
    </r>
    <r>
      <rPr>
        <sz val="11"/>
        <color theme="1"/>
        <rFont val="Calibri"/>
        <family val="2"/>
        <scheme val="minor"/>
      </rPr>
      <t xml:space="preserve"> How much will you have in the account at the end of 10 years if interest is compounded</t>
    </r>
  </si>
  <si>
    <t>(1) annually, (2) semiannually, (3) daily (assume a 365-day year), and</t>
  </si>
  <si>
    <t>(4) continuously?</t>
  </si>
  <si>
    <r>
      <t>b.</t>
    </r>
    <r>
      <rPr>
        <sz val="11"/>
        <color theme="1"/>
        <rFont val="Calibri"/>
        <family val="2"/>
        <scheme val="minor"/>
      </rPr>
      <t xml:space="preserve"> What is the effective annual rate (EAR) for each compounding period in part a?</t>
    </r>
  </si>
  <si>
    <r>
      <t>c.</t>
    </r>
    <r>
      <rPr>
        <sz val="11"/>
        <color theme="1"/>
        <rFont val="Calibri"/>
        <family val="2"/>
        <scheme val="minor"/>
      </rPr>
      <t xml:space="preserve"> How much greater will your IRA balance be at the end of 10 years if interest is</t>
    </r>
  </si>
  <si>
    <r>
      <t>d.</t>
    </r>
    <r>
      <rPr>
        <sz val="11"/>
        <color theme="1"/>
        <rFont val="Calibri"/>
        <family val="2"/>
        <scheme val="minor"/>
      </rPr>
      <t xml:space="preserve"> How does the compounding frequency affect the future value and effective annual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</si>
</sst>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2"/>
      <color theme="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9" fontId="0" fillId="0" borderId="0" xfId="0" applyNumberFormat="1"/>
    <xf numFmtId="6" fontId="0" fillId="0" borderId="0" xfId="0" applyNumberFormat="1"/>
    <xf numFmtId="0" fontId="5" fillId="0" borderId="0" xfId="0" applyFont="1" applyAlignment="1">
      <alignment horizontal="right"/>
    </xf>
    <xf numFmtId="0" fontId="2" fillId="0" borderId="0" xfId="0" applyFont="1"/>
    <xf numFmtId="8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9" fontId="0" fillId="0" borderId="0" xfId="2" applyFont="1"/>
    <xf numFmtId="0" fontId="0" fillId="3" borderId="0" xfId="0" applyFill="1"/>
    <xf numFmtId="44" fontId="0" fillId="3" borderId="0" xfId="1" applyFon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0" borderId="4" xfId="1" applyFont="1" applyBorder="1" applyAlignment="1">
      <alignment horizontal="center" wrapText="1"/>
    </xf>
    <xf numFmtId="44" fontId="7" fillId="3" borderId="4" xfId="0" applyNumberFormat="1" applyFont="1" applyFill="1" applyBorder="1" applyAlignment="1">
      <alignment horizontal="center"/>
    </xf>
    <xf numFmtId="0" fontId="0" fillId="0" borderId="4" xfId="0" applyBorder="1"/>
    <xf numFmtId="44" fontId="0" fillId="0" borderId="4" xfId="1" applyFont="1" applyBorder="1"/>
    <xf numFmtId="44" fontId="0" fillId="0" borderId="4" xfId="1" applyFont="1" applyBorder="1" applyAlignment="1">
      <alignment wrapText="1"/>
    </xf>
    <xf numFmtId="44" fontId="7" fillId="3" borderId="4" xfId="0" applyNumberFormat="1" applyFont="1" applyFill="1" applyBorder="1"/>
    <xf numFmtId="0" fontId="7" fillId="0" borderId="0" xfId="0" applyFont="1"/>
    <xf numFmtId="0" fontId="10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right"/>
    </xf>
    <xf numFmtId="0" fontId="3" fillId="3" borderId="0" xfId="0" applyFont="1" applyFill="1"/>
    <xf numFmtId="0" fontId="0" fillId="0" borderId="0" xfId="0" applyFill="1"/>
    <xf numFmtId="0" fontId="0" fillId="4" borderId="0" xfId="0" applyFill="1"/>
    <xf numFmtId="3" fontId="0" fillId="0" borderId="0" xfId="0" applyNumberFormat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1" fillId="0" borderId="0" xfId="0" applyFont="1" applyAlignment="1">
      <alignment vertical="center"/>
    </xf>
    <xf numFmtId="0" fontId="0" fillId="6" borderId="0" xfId="0" applyFill="1"/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8" fontId="11" fillId="0" borderId="4" xfId="0" applyNumberFormat="1" applyFont="1" applyFill="1" applyBorder="1" applyAlignment="1">
      <alignment horizontal="center" vertical="center" wrapText="1"/>
    </xf>
    <xf numFmtId="9" fontId="11" fillId="0" borderId="4" xfId="0" applyNumberFormat="1" applyFont="1" applyFill="1" applyBorder="1" applyAlignment="1">
      <alignment horizontal="center" vertical="center" wrapText="1"/>
    </xf>
    <xf numFmtId="10" fontId="11" fillId="0" borderId="4" xfId="0" applyNumberFormat="1" applyFont="1" applyFill="1" applyBorder="1" applyAlignment="1">
      <alignment horizontal="center" vertical="center" wrapText="1"/>
    </xf>
    <xf numFmtId="6" fontId="11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8" fontId="0" fillId="0" borderId="0" xfId="0" applyNumberFormat="1" applyFill="1"/>
    <xf numFmtId="9" fontId="0" fillId="0" borderId="0" xfId="2" applyFont="1" applyFill="1"/>
    <xf numFmtId="10" fontId="0" fillId="0" borderId="0" xfId="2" applyNumberFormat="1" applyFont="1" applyFill="1"/>
    <xf numFmtId="165" fontId="0" fillId="0" borderId="0" xfId="2" applyNumberFormat="1" applyFont="1" applyFill="1"/>
    <xf numFmtId="44" fontId="0" fillId="0" borderId="0" xfId="0" applyNumberFormat="1" applyFill="1"/>
    <xf numFmtId="44" fontId="0" fillId="0" borderId="0" xfId="1" applyFont="1" applyFill="1"/>
    <xf numFmtId="44" fontId="11" fillId="0" borderId="0" xfId="1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1514475</xdr:colOff>
      <xdr:row>11</xdr:row>
      <xdr:rowOff>0</xdr:rowOff>
    </xdr:from>
    <xdr:to>
      <xdr:col>9</xdr:col>
      <xdr:colOff>3619500</xdr:colOff>
      <xdr:row>19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839908-3ACA-4F8D-9E8B-61A027C77A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2095500"/>
          <a:ext cx="2105025" cy="1657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ly/Desktop/86257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 a"/>
      <sheetName val="Part b"/>
      <sheetName val="partc"/>
      <sheetName val="part d_a"/>
      <sheetName val="part d_b"/>
      <sheetName val="partd_c"/>
    </sheetNames>
    <sheetDataSet>
      <sheetData sheetId="0" refreshError="1"/>
      <sheetData sheetId="1">
        <row r="2">
          <cell r="B2">
            <v>0.1</v>
          </cell>
        </row>
      </sheetData>
      <sheetData sheetId="2" refreshError="1"/>
      <sheetData sheetId="3">
        <row r="2">
          <cell r="B2">
            <v>0.1</v>
          </cell>
        </row>
      </sheetData>
      <sheetData sheetId="4">
        <row r="2">
          <cell r="B2">
            <v>0.1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552A-63EF-4DBB-8D29-E545D6AB2776}">
  <dimension ref="A1:H15"/>
  <sheetViews>
    <sheetView workbookViewId="0">
      <selection activeCell="B22" sqref="B22"/>
    </sheetView>
  </sheetViews>
  <sheetFormatPr defaultRowHeight="15" x14ac:dyDescent="0.25"/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5" spans="1:8" x14ac:dyDescent="0.25">
      <c r="A5" s="1" t="s">
        <v>4</v>
      </c>
    </row>
    <row r="6" spans="1:8" x14ac:dyDescent="0.25">
      <c r="A6" s="2" t="s">
        <v>5</v>
      </c>
      <c r="B6" s="2" t="s">
        <v>6</v>
      </c>
      <c r="C6" s="2" t="s">
        <v>7</v>
      </c>
      <c r="D6" s="2" t="s">
        <v>8</v>
      </c>
    </row>
    <row r="7" spans="1:8" x14ac:dyDescent="0.25">
      <c r="A7" s="1" t="s">
        <v>9</v>
      </c>
      <c r="B7" s="3">
        <v>0.12</v>
      </c>
      <c r="C7">
        <v>2</v>
      </c>
      <c r="D7" s="4">
        <v>1</v>
      </c>
    </row>
    <row r="8" spans="1:8" x14ac:dyDescent="0.25">
      <c r="A8" s="1" t="s">
        <v>10</v>
      </c>
      <c r="B8" s="3">
        <v>0.06</v>
      </c>
      <c r="C8">
        <v>3</v>
      </c>
      <c r="D8" s="4">
        <v>1</v>
      </c>
    </row>
    <row r="9" spans="1:8" x14ac:dyDescent="0.25">
      <c r="A9" s="1" t="s">
        <v>11</v>
      </c>
      <c r="B9" s="3">
        <v>0.09</v>
      </c>
      <c r="C9">
        <v>2</v>
      </c>
      <c r="D9" s="4">
        <v>1</v>
      </c>
    </row>
    <row r="10" spans="1:8" x14ac:dyDescent="0.25">
      <c r="A10" s="1" t="s">
        <v>12</v>
      </c>
      <c r="B10" s="3">
        <v>0.03</v>
      </c>
      <c r="C10">
        <v>4</v>
      </c>
      <c r="D10" s="4">
        <v>1</v>
      </c>
    </row>
    <row r="11" spans="1:8" ht="17.25" x14ac:dyDescent="0.25">
      <c r="A11" s="5" t="s">
        <v>13</v>
      </c>
      <c r="B11" s="6" t="s">
        <v>14</v>
      </c>
    </row>
    <row r="12" spans="1:8" x14ac:dyDescent="0.25">
      <c r="A12" t="s">
        <v>15</v>
      </c>
      <c r="B12" s="7" t="s">
        <v>16</v>
      </c>
      <c r="C12">
        <f>POWER(1.12,2)</f>
        <v>1.2544000000000002</v>
      </c>
      <c r="D12" s="8" t="s">
        <v>13</v>
      </c>
      <c r="E12" s="9">
        <f xml:space="preserve"> (1*C12)</f>
        <v>1.2544000000000002</v>
      </c>
    </row>
    <row r="13" spans="1:8" x14ac:dyDescent="0.25">
      <c r="A13" t="s">
        <v>17</v>
      </c>
      <c r="B13" s="7" t="s">
        <v>16</v>
      </c>
      <c r="C13">
        <f>POWER(1.06,3)</f>
        <v>1.1910160000000003</v>
      </c>
      <c r="D13" s="8" t="s">
        <v>13</v>
      </c>
      <c r="E13" s="9">
        <f>SUM(1*C13)</f>
        <v>1.1910160000000003</v>
      </c>
    </row>
    <row r="14" spans="1:8" x14ac:dyDescent="0.25">
      <c r="A14" t="s">
        <v>18</v>
      </c>
      <c r="B14" s="7" t="s">
        <v>16</v>
      </c>
      <c r="C14">
        <f>POWER(1.09,2)</f>
        <v>1.1881000000000002</v>
      </c>
      <c r="D14" s="8" t="s">
        <v>13</v>
      </c>
      <c r="E14" s="9">
        <f>SUM(1*C14)</f>
        <v>1.1881000000000002</v>
      </c>
    </row>
    <row r="15" spans="1:8" x14ac:dyDescent="0.25">
      <c r="A15" t="s">
        <v>19</v>
      </c>
      <c r="B15" s="7" t="s">
        <v>16</v>
      </c>
      <c r="C15">
        <f>POWER(1.03,4)</f>
        <v>1.1255088099999999</v>
      </c>
      <c r="D15" s="8" t="s">
        <v>13</v>
      </c>
      <c r="E15" s="9">
        <f>SUM(1*C15)</f>
        <v>1.1255088099999999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F7EC-BED0-41C2-BBCA-BC87BADE9BFA}">
  <dimension ref="A1:T21"/>
  <sheetViews>
    <sheetView topLeftCell="A2" workbookViewId="0">
      <selection activeCell="B22" sqref="B22"/>
    </sheetView>
  </sheetViews>
  <sheetFormatPr defaultRowHeight="15" x14ac:dyDescent="0.25"/>
  <cols>
    <col min="2" max="2" width="15.5703125" bestFit="1" customWidth="1"/>
    <col min="6" max="6" width="19.85546875" customWidth="1"/>
    <col min="8" max="8" width="10.5703125" bestFit="1" customWidth="1"/>
    <col min="13" max="13" width="18.42578125" customWidth="1"/>
    <col min="15" max="15" width="18.28515625" bestFit="1" customWidth="1"/>
  </cols>
  <sheetData>
    <row r="1" spans="1:20" x14ac:dyDescent="0.25">
      <c r="A1" t="s">
        <v>20</v>
      </c>
    </row>
    <row r="2" spans="1:20" x14ac:dyDescent="0.25">
      <c r="A2" t="s">
        <v>21</v>
      </c>
    </row>
    <row r="3" spans="1:20" x14ac:dyDescent="0.25">
      <c r="A3" t="s">
        <v>22</v>
      </c>
    </row>
    <row r="4" spans="1:20" x14ac:dyDescent="0.25">
      <c r="A4" t="s">
        <v>23</v>
      </c>
    </row>
    <row r="5" spans="1:20" x14ac:dyDescent="0.25">
      <c r="A5" s="40" t="s">
        <v>24</v>
      </c>
      <c r="B5" s="40"/>
      <c r="C5" s="40"/>
      <c r="D5" s="40"/>
      <c r="E5" s="40"/>
      <c r="F5" s="40"/>
      <c r="G5" s="40" t="s">
        <v>25</v>
      </c>
      <c r="H5" s="40"/>
      <c r="I5" s="40"/>
      <c r="J5" s="40"/>
      <c r="K5" s="40"/>
      <c r="L5" s="40"/>
      <c r="M5" s="40"/>
      <c r="N5" s="40" t="s">
        <v>26</v>
      </c>
      <c r="O5" s="40"/>
      <c r="P5" s="40"/>
      <c r="Q5" s="40"/>
      <c r="R5" s="40"/>
      <c r="S5" s="40"/>
      <c r="T5" s="40"/>
    </row>
    <row r="6" spans="1:20" x14ac:dyDescent="0.25">
      <c r="A6" t="s">
        <v>27</v>
      </c>
      <c r="G6" t="s">
        <v>28</v>
      </c>
      <c r="N6" t="s">
        <v>29</v>
      </c>
    </row>
    <row r="8" spans="1:20" x14ac:dyDescent="0.25">
      <c r="A8" t="s">
        <v>30</v>
      </c>
      <c r="B8" t="s">
        <v>31</v>
      </c>
      <c r="G8" s="11" t="s">
        <v>32</v>
      </c>
      <c r="H8" s="12">
        <f>B21-B16</f>
        <v>1576.0093888000029</v>
      </c>
      <c r="I8" s="11" t="s">
        <v>33</v>
      </c>
      <c r="J8" s="11"/>
      <c r="K8" s="11"/>
      <c r="L8" s="11"/>
      <c r="M8" s="11"/>
      <c r="N8" t="s">
        <v>30</v>
      </c>
      <c r="O8" t="s">
        <v>31</v>
      </c>
    </row>
    <row r="9" spans="1:20" x14ac:dyDescent="0.25">
      <c r="H9" s="10"/>
    </row>
    <row r="10" spans="1:20" x14ac:dyDescent="0.25">
      <c r="A10" t="s">
        <v>34</v>
      </c>
      <c r="B10">
        <v>14000</v>
      </c>
      <c r="N10" t="s">
        <v>34</v>
      </c>
      <c r="O10">
        <v>14000</v>
      </c>
    </row>
    <row r="11" spans="1:20" x14ac:dyDescent="0.25">
      <c r="A11" t="s">
        <v>35</v>
      </c>
      <c r="B11">
        <v>0.02</v>
      </c>
      <c r="N11" t="s">
        <v>35</v>
      </c>
      <c r="O11">
        <v>0.02</v>
      </c>
    </row>
    <row r="12" spans="1:20" x14ac:dyDescent="0.25">
      <c r="A12" t="s">
        <v>36</v>
      </c>
      <c r="B12">
        <v>5</v>
      </c>
      <c r="N12" t="s">
        <v>36</v>
      </c>
      <c r="O12">
        <v>2</v>
      </c>
    </row>
    <row r="14" spans="1:20" x14ac:dyDescent="0.25">
      <c r="A14" t="s">
        <v>30</v>
      </c>
      <c r="B14" t="s">
        <v>37</v>
      </c>
      <c r="N14" t="s">
        <v>30</v>
      </c>
      <c r="O14" t="s">
        <v>38</v>
      </c>
    </row>
    <row r="16" spans="1:20" x14ac:dyDescent="0.25">
      <c r="A16" s="11" t="s">
        <v>30</v>
      </c>
      <c r="B16" s="12">
        <f>14000*(1+0.02)^5</f>
        <v>15457.131244800001</v>
      </c>
      <c r="N16" s="11" t="s">
        <v>30</v>
      </c>
      <c r="O16" s="12">
        <f>14000*(1+0.02)^2</f>
        <v>14565.6</v>
      </c>
    </row>
    <row r="18" spans="1:15" x14ac:dyDescent="0.25">
      <c r="A18" t="s">
        <v>39</v>
      </c>
      <c r="N18" t="s">
        <v>40</v>
      </c>
    </row>
    <row r="19" spans="1:15" x14ac:dyDescent="0.25">
      <c r="A19" t="s">
        <v>30</v>
      </c>
      <c r="B19" t="s">
        <v>41</v>
      </c>
      <c r="N19" t="s">
        <v>30</v>
      </c>
      <c r="O19" t="s">
        <v>42</v>
      </c>
    </row>
    <row r="21" spans="1:15" x14ac:dyDescent="0.25">
      <c r="A21" s="11" t="s">
        <v>30</v>
      </c>
      <c r="B21" s="12">
        <f>14000*(1+0.04)^5</f>
        <v>17033.140633600004</v>
      </c>
      <c r="N21" s="11" t="s">
        <v>30</v>
      </c>
      <c r="O21" s="12">
        <f>14565.6*(1+0.04)^3</f>
        <v>16384.3190784</v>
      </c>
    </row>
  </sheetData>
  <mergeCells count="3">
    <mergeCell ref="G5:M5"/>
    <mergeCell ref="A5:F5"/>
    <mergeCell ref="N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1A0A-7EE6-465D-9687-6E8D54680343}">
  <dimension ref="A1:C7"/>
  <sheetViews>
    <sheetView workbookViewId="0">
      <selection activeCell="E7" sqref="E7"/>
    </sheetView>
  </sheetViews>
  <sheetFormatPr defaultRowHeight="15" x14ac:dyDescent="0.25"/>
  <sheetData>
    <row r="1" spans="1:3" x14ac:dyDescent="0.25">
      <c r="A1" s="13" t="s">
        <v>43</v>
      </c>
    </row>
    <row r="2" spans="1:3" x14ac:dyDescent="0.25">
      <c r="A2" s="13" t="s">
        <v>44</v>
      </c>
    </row>
    <row r="3" spans="1:3" x14ac:dyDescent="0.25">
      <c r="A3" s="13" t="s">
        <v>45</v>
      </c>
    </row>
    <row r="4" spans="1:3" x14ac:dyDescent="0.25">
      <c r="A4" s="13" t="s">
        <v>46</v>
      </c>
    </row>
    <row r="5" spans="1:3" x14ac:dyDescent="0.25">
      <c r="A5" s="13" t="s">
        <v>47</v>
      </c>
    </row>
    <row r="7" spans="1:3" x14ac:dyDescent="0.25">
      <c r="A7" s="11" t="s">
        <v>48</v>
      </c>
      <c r="B7" s="11"/>
      <c r="C7" s="12">
        <f>100*1.08^-6</f>
        <v>63.01696268831045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83FD-A09F-4A58-9518-91B5ADE3995B}">
  <dimension ref="A1:BC53"/>
  <sheetViews>
    <sheetView topLeftCell="AL2" workbookViewId="0">
      <selection activeCell="AR16" sqref="AR16"/>
    </sheetView>
  </sheetViews>
  <sheetFormatPr defaultRowHeight="15" x14ac:dyDescent="0.25"/>
  <cols>
    <col min="12" max="13" width="19.85546875" customWidth="1"/>
    <col min="14" max="14" width="22.7109375" customWidth="1"/>
    <col min="15" max="15" width="13.5703125" bestFit="1" customWidth="1"/>
    <col min="19" max="19" width="19.28515625" customWidth="1"/>
    <col min="21" max="21" width="18.42578125" customWidth="1"/>
    <col min="32" max="32" width="32.85546875" customWidth="1"/>
    <col min="35" max="35" width="18.28515625" customWidth="1"/>
    <col min="37" max="37" width="18.42578125" customWidth="1"/>
    <col min="40" max="40" width="18.140625" customWidth="1"/>
    <col min="42" max="42" width="18.42578125" customWidth="1"/>
  </cols>
  <sheetData>
    <row r="1" spans="1:55" x14ac:dyDescent="0.25">
      <c r="A1" s="13" t="s">
        <v>49</v>
      </c>
    </row>
    <row r="2" spans="1:55" ht="15.75" x14ac:dyDescent="0.25">
      <c r="A2" s="13" t="s">
        <v>50</v>
      </c>
      <c r="K2" s="15" t="s">
        <v>64</v>
      </c>
      <c r="L2" s="41" t="s">
        <v>65</v>
      </c>
      <c r="M2" s="42"/>
      <c r="N2" s="42"/>
      <c r="O2" s="43"/>
      <c r="Q2" s="15"/>
      <c r="R2" t="s">
        <v>74</v>
      </c>
      <c r="Y2" t="s">
        <v>76</v>
      </c>
      <c r="AG2" s="15"/>
      <c r="AH2" t="s">
        <v>77</v>
      </c>
      <c r="AL2" s="15"/>
    </row>
    <row r="3" spans="1:55" ht="15.75" x14ac:dyDescent="0.25">
      <c r="A3" s="13" t="s">
        <v>51</v>
      </c>
      <c r="K3" s="5"/>
      <c r="L3" s="16" t="s">
        <v>66</v>
      </c>
      <c r="M3" s="17">
        <v>0.1</v>
      </c>
      <c r="N3" s="18"/>
      <c r="O3" s="19"/>
      <c r="Q3" s="15"/>
      <c r="R3" t="s">
        <v>56</v>
      </c>
      <c r="Y3" s="1" t="s">
        <v>59</v>
      </c>
      <c r="Z3" s="1"/>
      <c r="AA3" s="1"/>
      <c r="AB3" s="1"/>
      <c r="AC3" s="1"/>
      <c r="AD3" s="1"/>
      <c r="AE3" s="1"/>
      <c r="AG3" s="15"/>
      <c r="AH3" t="s">
        <v>62</v>
      </c>
      <c r="AL3" s="15"/>
    </row>
    <row r="4" spans="1:55" ht="15.75" x14ac:dyDescent="0.25">
      <c r="A4" s="13" t="s">
        <v>52</v>
      </c>
      <c r="K4" s="15"/>
      <c r="L4" s="20" t="s">
        <v>67</v>
      </c>
      <c r="M4" s="20" t="s">
        <v>68</v>
      </c>
      <c r="N4" s="21" t="s">
        <v>69</v>
      </c>
      <c r="O4" s="20" t="s">
        <v>70</v>
      </c>
      <c r="Q4" s="15"/>
      <c r="R4" t="s">
        <v>57</v>
      </c>
      <c r="Y4" t="s">
        <v>60</v>
      </c>
      <c r="Z4" s="31"/>
      <c r="AA4" s="31"/>
      <c r="AB4" s="31"/>
      <c r="AC4" s="31"/>
      <c r="AD4" s="31"/>
      <c r="AE4" s="31"/>
      <c r="AG4" s="15"/>
      <c r="AH4" t="s">
        <v>63</v>
      </c>
      <c r="AL4" s="15"/>
    </row>
    <row r="5" spans="1:55" ht="30" x14ac:dyDescent="0.25">
      <c r="A5" s="14" t="s">
        <v>53</v>
      </c>
      <c r="K5" s="15"/>
      <c r="L5" s="22"/>
      <c r="M5" s="22"/>
      <c r="N5" s="22" t="s">
        <v>71</v>
      </c>
      <c r="O5" s="22" t="s">
        <v>72</v>
      </c>
      <c r="Q5" s="15"/>
      <c r="AG5" s="15"/>
      <c r="AL5" s="15"/>
    </row>
    <row r="6" spans="1:55" ht="15.75" x14ac:dyDescent="0.25">
      <c r="A6" s="13" t="s">
        <v>54</v>
      </c>
      <c r="K6" s="15"/>
      <c r="L6" s="23">
        <v>25</v>
      </c>
      <c r="M6" s="24">
        <v>2000</v>
      </c>
      <c r="N6" s="25">
        <f t="shared" ref="N6:N46" si="0">(((1+$C$10)^($B$53-L6)))</f>
        <v>1</v>
      </c>
      <c r="O6" s="24">
        <f t="shared" ref="O6:O46" si="1">M6*N6</f>
        <v>2000</v>
      </c>
      <c r="Q6" s="15" t="s">
        <v>75</v>
      </c>
      <c r="R6" s="41" t="s">
        <v>65</v>
      </c>
      <c r="S6" s="42"/>
      <c r="T6" s="42"/>
      <c r="U6" s="43"/>
      <c r="Y6" s="11" t="s">
        <v>78</v>
      </c>
      <c r="Z6" s="11"/>
      <c r="AA6" s="11"/>
      <c r="AB6" s="11"/>
      <c r="AC6" s="11"/>
      <c r="AD6" s="11"/>
      <c r="AE6" s="11"/>
      <c r="AF6" s="11"/>
      <c r="AG6" s="15" t="s">
        <v>79</v>
      </c>
      <c r="AH6" s="41" t="s">
        <v>65</v>
      </c>
      <c r="AI6" s="42"/>
      <c r="AJ6" s="42"/>
      <c r="AK6" s="43"/>
      <c r="AL6" s="15" t="s">
        <v>80</v>
      </c>
      <c r="AM6" s="41" t="s">
        <v>65</v>
      </c>
      <c r="AN6" s="42"/>
      <c r="AO6" s="42"/>
      <c r="AP6" s="43"/>
      <c r="AQ6" s="15" t="s">
        <v>81</v>
      </c>
      <c r="AR6" s="11" t="s">
        <v>82</v>
      </c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.75" x14ac:dyDescent="0.25">
      <c r="A7" s="14"/>
      <c r="K7" s="15"/>
      <c r="L7" s="23">
        <v>26</v>
      </c>
      <c r="M7" s="24">
        <v>2000</v>
      </c>
      <c r="N7" s="25">
        <f t="shared" si="0"/>
        <v>1</v>
      </c>
      <c r="O7" s="24">
        <f t="shared" si="1"/>
        <v>2000</v>
      </c>
      <c r="Q7" s="5"/>
      <c r="R7" s="16" t="s">
        <v>66</v>
      </c>
      <c r="S7" s="17">
        <v>0.1</v>
      </c>
      <c r="T7" s="18"/>
      <c r="U7" s="19"/>
      <c r="Y7" s="11" t="s">
        <v>83</v>
      </c>
      <c r="Z7" s="32"/>
      <c r="AA7" s="32"/>
      <c r="AB7" s="32"/>
      <c r="AC7" s="32"/>
      <c r="AD7" s="32"/>
      <c r="AE7" s="32"/>
      <c r="AF7" s="32"/>
      <c r="AG7" s="5"/>
      <c r="AH7" s="16" t="s">
        <v>66</v>
      </c>
      <c r="AI7" s="17">
        <v>0.1</v>
      </c>
      <c r="AJ7" s="18"/>
      <c r="AK7" s="19"/>
      <c r="AL7" s="5"/>
      <c r="AM7" s="16" t="s">
        <v>66</v>
      </c>
      <c r="AN7" s="17">
        <v>0.1</v>
      </c>
      <c r="AO7" s="18"/>
      <c r="AP7" s="19"/>
      <c r="AQ7" s="1"/>
      <c r="AR7" s="11" t="s">
        <v>84</v>
      </c>
      <c r="AS7" s="32"/>
      <c r="AT7" s="32"/>
      <c r="AU7" s="32"/>
      <c r="AV7" s="32"/>
      <c r="AW7" s="32"/>
      <c r="AX7" s="32"/>
      <c r="AY7" s="32"/>
      <c r="AZ7" s="35"/>
      <c r="BA7" s="11"/>
      <c r="BB7" s="11"/>
      <c r="BC7" s="11"/>
    </row>
    <row r="8" spans="1:55" ht="31.5" x14ac:dyDescent="0.25">
      <c r="A8" s="14" t="s">
        <v>55</v>
      </c>
      <c r="K8" s="15"/>
      <c r="L8" s="23">
        <v>27</v>
      </c>
      <c r="M8" s="24">
        <v>2000</v>
      </c>
      <c r="N8" s="25">
        <f t="shared" si="0"/>
        <v>1</v>
      </c>
      <c r="O8" s="24">
        <f t="shared" si="1"/>
        <v>2000</v>
      </c>
      <c r="Q8" s="15"/>
      <c r="R8" s="20" t="s">
        <v>67</v>
      </c>
      <c r="S8" s="20" t="s">
        <v>68</v>
      </c>
      <c r="T8" s="21" t="s">
        <v>69</v>
      </c>
      <c r="U8" s="20" t="s">
        <v>70</v>
      </c>
      <c r="Y8" s="11" t="s">
        <v>85</v>
      </c>
      <c r="Z8" s="33"/>
      <c r="AA8" s="33"/>
      <c r="AB8" s="33"/>
      <c r="AC8" s="33"/>
      <c r="AD8" s="33"/>
      <c r="AE8" s="33"/>
      <c r="AF8" s="33"/>
      <c r="AG8" s="15"/>
      <c r="AH8" s="20" t="s">
        <v>67</v>
      </c>
      <c r="AI8" s="20" t="s">
        <v>68</v>
      </c>
      <c r="AJ8" s="21" t="s">
        <v>69</v>
      </c>
      <c r="AK8" s="20" t="s">
        <v>70</v>
      </c>
      <c r="AL8" s="15"/>
      <c r="AM8" s="20" t="s">
        <v>67</v>
      </c>
      <c r="AN8" s="20" t="s">
        <v>68</v>
      </c>
      <c r="AO8" s="21" t="s">
        <v>69</v>
      </c>
      <c r="AP8" s="20" t="s">
        <v>70</v>
      </c>
      <c r="AQ8" s="31"/>
      <c r="AR8" s="11" t="s">
        <v>85</v>
      </c>
      <c r="AS8" s="33"/>
      <c r="AT8" s="33"/>
      <c r="AU8" s="33"/>
      <c r="AV8" s="33"/>
      <c r="AW8" s="33"/>
      <c r="AX8" s="33"/>
      <c r="AY8" s="33"/>
      <c r="AZ8" s="33"/>
      <c r="BA8" s="11"/>
      <c r="BB8" s="11"/>
      <c r="BC8" s="11"/>
    </row>
    <row r="9" spans="1:55" ht="60" x14ac:dyDescent="0.25">
      <c r="A9" s="13" t="s">
        <v>56</v>
      </c>
      <c r="K9" s="15"/>
      <c r="L9" s="23">
        <v>28</v>
      </c>
      <c r="M9" s="24">
        <v>2000</v>
      </c>
      <c r="N9" s="25">
        <f t="shared" si="0"/>
        <v>1</v>
      </c>
      <c r="O9" s="24">
        <f t="shared" si="1"/>
        <v>2000</v>
      </c>
      <c r="Q9" s="15"/>
      <c r="R9" s="22"/>
      <c r="S9" s="22"/>
      <c r="T9" s="22" t="s">
        <v>71</v>
      </c>
      <c r="U9" s="22" t="s">
        <v>72</v>
      </c>
      <c r="AG9" s="15"/>
      <c r="AH9" s="22"/>
      <c r="AI9" s="22"/>
      <c r="AJ9" s="22" t="s">
        <v>71</v>
      </c>
      <c r="AK9" s="22" t="s">
        <v>72</v>
      </c>
      <c r="AL9" s="15"/>
      <c r="AM9" s="22"/>
      <c r="AN9" s="22"/>
      <c r="AO9" s="22" t="s">
        <v>71</v>
      </c>
      <c r="AP9" s="22" t="s">
        <v>72</v>
      </c>
    </row>
    <row r="10" spans="1:55" ht="15.75" x14ac:dyDescent="0.25">
      <c r="A10" s="13" t="s">
        <v>57</v>
      </c>
      <c r="K10" s="15"/>
      <c r="L10" s="23">
        <v>29</v>
      </c>
      <c r="M10" s="24">
        <v>2000</v>
      </c>
      <c r="N10" s="25">
        <f t="shared" si="0"/>
        <v>1</v>
      </c>
      <c r="O10" s="24">
        <f t="shared" si="1"/>
        <v>2000</v>
      </c>
      <c r="Q10" s="15"/>
      <c r="R10" s="27">
        <v>25</v>
      </c>
      <c r="S10" s="28">
        <v>0</v>
      </c>
      <c r="T10" s="29">
        <f>(((1+'[1]Part b'!$B$2)^($G$53-R10)))</f>
        <v>9.2295998177064048E-2</v>
      </c>
      <c r="U10" s="28">
        <f t="shared" ref="U10:U50" si="2">S10*T10</f>
        <v>0</v>
      </c>
      <c r="AG10" s="15"/>
      <c r="AH10" s="27">
        <v>25</v>
      </c>
      <c r="AI10" s="28">
        <v>2000</v>
      </c>
      <c r="AJ10" s="29">
        <f>(((1+'[1]part d_a'!$B$2)^($U$53-AH10+1)))</f>
        <v>0.10152559799477048</v>
      </c>
      <c r="AK10" s="28">
        <f t="shared" ref="AK10:AK50" si="3">AI10*AJ10</f>
        <v>203.05119598954096</v>
      </c>
      <c r="AL10" s="15"/>
      <c r="AM10" s="27">
        <v>25</v>
      </c>
      <c r="AN10" s="28">
        <v>0</v>
      </c>
      <c r="AO10" s="29">
        <f>(((1+'[1]part d_b'!$B$2)^($Z$53-AM10+1)))</f>
        <v>0.10152559799477048</v>
      </c>
      <c r="AP10" s="28">
        <f t="shared" ref="AP10:AP50" si="4">AN10*AO10</f>
        <v>0</v>
      </c>
    </row>
    <row r="11" spans="1:55" ht="15.75" x14ac:dyDescent="0.25">
      <c r="A11" s="14"/>
      <c r="K11" s="15"/>
      <c r="L11" s="23">
        <v>30</v>
      </c>
      <c r="M11" s="24">
        <v>2000</v>
      </c>
      <c r="N11" s="25">
        <f t="shared" si="0"/>
        <v>1</v>
      </c>
      <c r="O11" s="24">
        <f t="shared" si="1"/>
        <v>2000</v>
      </c>
      <c r="Q11" s="15"/>
      <c r="R11" s="27">
        <v>26</v>
      </c>
      <c r="S11" s="28">
        <v>0</v>
      </c>
      <c r="T11" s="29">
        <f>(((1+'[1]Part b'!$B$2)^($G$53-R11)))</f>
        <v>8.3905452888240042E-2</v>
      </c>
      <c r="U11" s="28">
        <f t="shared" si="2"/>
        <v>0</v>
      </c>
      <c r="AG11" s="15"/>
      <c r="AH11" s="27">
        <v>26</v>
      </c>
      <c r="AI11" s="28">
        <v>2000</v>
      </c>
      <c r="AJ11" s="29">
        <f>(((1+'[1]part d_a'!$B$2)^($U$53-AH11+1)))</f>
        <v>9.2295998177064048E-2</v>
      </c>
      <c r="AK11" s="28">
        <f t="shared" si="3"/>
        <v>184.5919963541281</v>
      </c>
      <c r="AL11" s="15"/>
      <c r="AM11" s="27">
        <v>26</v>
      </c>
      <c r="AN11" s="28">
        <v>0</v>
      </c>
      <c r="AO11" s="29">
        <f>(((1+'[1]part d_b'!$B$2)^($Z$53-AM11+1)))</f>
        <v>9.2295998177064048E-2</v>
      </c>
      <c r="AP11" s="28">
        <f t="shared" si="4"/>
        <v>0</v>
      </c>
    </row>
    <row r="12" spans="1:55" ht="15.75" x14ac:dyDescent="0.25">
      <c r="A12" s="14" t="s">
        <v>58</v>
      </c>
      <c r="K12" s="15"/>
      <c r="L12" s="23">
        <v>31</v>
      </c>
      <c r="M12" s="24">
        <v>2000</v>
      </c>
      <c r="N12" s="25">
        <f t="shared" si="0"/>
        <v>1</v>
      </c>
      <c r="O12" s="24">
        <f t="shared" si="1"/>
        <v>2000</v>
      </c>
      <c r="Q12" s="15"/>
      <c r="R12" s="27">
        <v>27</v>
      </c>
      <c r="S12" s="28">
        <v>0</v>
      </c>
      <c r="T12" s="29">
        <f>(((1+'[1]Part b'!$B$2)^($G$53-R12)))</f>
        <v>7.6277684443854576E-2</v>
      </c>
      <c r="U12" s="28">
        <f t="shared" si="2"/>
        <v>0</v>
      </c>
      <c r="AG12" s="15"/>
      <c r="AH12" s="27">
        <v>27</v>
      </c>
      <c r="AI12" s="28">
        <v>2000</v>
      </c>
      <c r="AJ12" s="29">
        <f>(((1+'[1]part d_a'!$B$2)^($U$53-AH12+1)))</f>
        <v>8.3905452888240042E-2</v>
      </c>
      <c r="AK12" s="28">
        <f t="shared" si="3"/>
        <v>167.8109057764801</v>
      </c>
      <c r="AL12" s="15"/>
      <c r="AM12" s="27">
        <v>27</v>
      </c>
      <c r="AN12" s="28">
        <v>0</v>
      </c>
      <c r="AO12" s="29">
        <f>(((1+'[1]part d_b'!$B$2)^($Z$53-AM12+1)))</f>
        <v>8.3905452888240042E-2</v>
      </c>
      <c r="AP12" s="28">
        <f t="shared" si="4"/>
        <v>0</v>
      </c>
    </row>
    <row r="13" spans="1:55" ht="15.75" x14ac:dyDescent="0.25">
      <c r="A13" s="13" t="s">
        <v>59</v>
      </c>
      <c r="K13" s="15"/>
      <c r="L13" s="23">
        <v>32</v>
      </c>
      <c r="M13" s="24">
        <v>2000</v>
      </c>
      <c r="N13" s="25">
        <f t="shared" si="0"/>
        <v>1</v>
      </c>
      <c r="O13" s="24">
        <f t="shared" si="1"/>
        <v>2000</v>
      </c>
      <c r="Q13" s="15"/>
      <c r="R13" s="27">
        <v>28</v>
      </c>
      <c r="S13" s="28">
        <v>0</v>
      </c>
      <c r="T13" s="29">
        <f>(((1+'[1]Part b'!$B$2)^($G$53-R13)))</f>
        <v>6.9343349494413245E-2</v>
      </c>
      <c r="U13" s="28">
        <f t="shared" si="2"/>
        <v>0</v>
      </c>
      <c r="AG13" s="15"/>
      <c r="AH13" s="27">
        <v>28</v>
      </c>
      <c r="AI13" s="28">
        <v>2000</v>
      </c>
      <c r="AJ13" s="29">
        <f>(((1+'[1]part d_a'!$B$2)^($U$53-AH13+1)))</f>
        <v>7.6277684443854576E-2</v>
      </c>
      <c r="AK13" s="28">
        <f t="shared" si="3"/>
        <v>152.55536888770916</v>
      </c>
      <c r="AL13" s="15"/>
      <c r="AM13" s="27">
        <v>28</v>
      </c>
      <c r="AN13" s="28">
        <v>0</v>
      </c>
      <c r="AO13" s="29">
        <f>(((1+'[1]part d_b'!$B$2)^($Z$53-AM13+1)))</f>
        <v>7.6277684443854576E-2</v>
      </c>
      <c r="AP13" s="28">
        <f t="shared" si="4"/>
        <v>0</v>
      </c>
    </row>
    <row r="14" spans="1:55" ht="15.75" x14ac:dyDescent="0.25">
      <c r="A14" s="13" t="s">
        <v>60</v>
      </c>
      <c r="K14" s="15"/>
      <c r="L14" s="23">
        <v>33</v>
      </c>
      <c r="M14" s="24">
        <v>2000</v>
      </c>
      <c r="N14" s="25">
        <f t="shared" si="0"/>
        <v>1</v>
      </c>
      <c r="O14" s="24">
        <f t="shared" si="1"/>
        <v>2000</v>
      </c>
      <c r="Q14" s="15"/>
      <c r="R14" s="27">
        <v>29</v>
      </c>
      <c r="S14" s="28">
        <v>0</v>
      </c>
      <c r="T14" s="29">
        <f>(((1+'[1]Part b'!$B$2)^($G$53-R14)))</f>
        <v>6.3039408631284766E-2</v>
      </c>
      <c r="U14" s="28">
        <f t="shared" si="2"/>
        <v>0</v>
      </c>
      <c r="AG14" s="15"/>
      <c r="AH14" s="27">
        <v>29</v>
      </c>
      <c r="AI14" s="28">
        <v>2000</v>
      </c>
      <c r="AJ14" s="29">
        <f>(((1+'[1]part d_a'!$B$2)^($U$53-AH14+1)))</f>
        <v>6.9343349494413245E-2</v>
      </c>
      <c r="AK14" s="28">
        <f t="shared" si="3"/>
        <v>138.68669898882649</v>
      </c>
      <c r="AL14" s="15"/>
      <c r="AM14" s="27">
        <v>29</v>
      </c>
      <c r="AN14" s="28">
        <v>0</v>
      </c>
      <c r="AO14" s="29">
        <f>(((1+'[1]part d_b'!$B$2)^($Z$53-AM14+1)))</f>
        <v>6.9343349494413245E-2</v>
      </c>
      <c r="AP14" s="28">
        <f t="shared" si="4"/>
        <v>0</v>
      </c>
    </row>
    <row r="15" spans="1:55" ht="15.75" x14ac:dyDescent="0.25">
      <c r="A15" s="14"/>
      <c r="K15" s="15"/>
      <c r="L15" s="23">
        <v>34</v>
      </c>
      <c r="M15" s="24">
        <v>2000</v>
      </c>
      <c r="N15" s="25">
        <f t="shared" si="0"/>
        <v>1</v>
      </c>
      <c r="O15" s="24">
        <f t="shared" si="1"/>
        <v>2000</v>
      </c>
      <c r="Q15" s="15"/>
      <c r="R15" s="27">
        <v>30</v>
      </c>
      <c r="S15" s="28">
        <v>0</v>
      </c>
      <c r="T15" s="29">
        <f>(((1+'[1]Part b'!$B$2)^($G$53-R15)))</f>
        <v>5.7308553301167964E-2</v>
      </c>
      <c r="U15" s="28">
        <f t="shared" si="2"/>
        <v>0</v>
      </c>
      <c r="AG15" s="15"/>
      <c r="AH15" s="27">
        <v>30</v>
      </c>
      <c r="AI15" s="28">
        <v>2000</v>
      </c>
      <c r="AJ15" s="29">
        <f>(((1+'[1]part d_a'!$B$2)^($U$53-AH15+1)))</f>
        <v>6.3039408631284766E-2</v>
      </c>
      <c r="AK15" s="28">
        <f t="shared" si="3"/>
        <v>126.07881726256953</v>
      </c>
      <c r="AL15" s="15"/>
      <c r="AM15" s="27">
        <v>30</v>
      </c>
      <c r="AN15" s="28">
        <v>0</v>
      </c>
      <c r="AO15" s="29">
        <f>(((1+'[1]part d_b'!$B$2)^($Z$53-AM15+1)))</f>
        <v>6.3039408631284766E-2</v>
      </c>
      <c r="AP15" s="28">
        <f t="shared" si="4"/>
        <v>0</v>
      </c>
    </row>
    <row r="16" spans="1:55" ht="15.75" x14ac:dyDescent="0.25">
      <c r="A16" s="14" t="s">
        <v>61</v>
      </c>
      <c r="K16" s="15"/>
      <c r="L16" s="23">
        <v>35</v>
      </c>
      <c r="M16" s="24">
        <v>2000</v>
      </c>
      <c r="N16" s="25">
        <f t="shared" si="0"/>
        <v>1</v>
      </c>
      <c r="O16" s="24">
        <f t="shared" si="1"/>
        <v>2000</v>
      </c>
      <c r="Q16" s="15"/>
      <c r="R16" s="27">
        <v>31</v>
      </c>
      <c r="S16" s="28">
        <v>0</v>
      </c>
      <c r="T16" s="29">
        <f>(((1+'[1]Part b'!$B$2)^($G$53-R16)))</f>
        <v>5.2098684819243603E-2</v>
      </c>
      <c r="U16" s="28">
        <f t="shared" si="2"/>
        <v>0</v>
      </c>
      <c r="AG16" s="15"/>
      <c r="AH16" s="27">
        <v>31</v>
      </c>
      <c r="AI16" s="28">
        <v>2000</v>
      </c>
      <c r="AJ16" s="29">
        <f>(((1+'[1]part d_a'!$B$2)^($U$53-AH16+1)))</f>
        <v>5.7308553301167964E-2</v>
      </c>
      <c r="AK16" s="28">
        <f t="shared" si="3"/>
        <v>114.61710660233592</v>
      </c>
      <c r="AL16" s="15"/>
      <c r="AM16" s="27">
        <v>31</v>
      </c>
      <c r="AN16" s="28">
        <v>0</v>
      </c>
      <c r="AO16" s="29">
        <f>(((1+'[1]part d_b'!$B$2)^($Z$53-AM16+1)))</f>
        <v>5.7308553301167964E-2</v>
      </c>
      <c r="AP16" s="28">
        <f t="shared" si="4"/>
        <v>0</v>
      </c>
    </row>
    <row r="17" spans="1:42" ht="15.75" x14ac:dyDescent="0.25">
      <c r="A17" s="13" t="s">
        <v>62</v>
      </c>
      <c r="K17" s="15"/>
      <c r="L17" s="23">
        <v>36</v>
      </c>
      <c r="M17" s="24">
        <v>2000</v>
      </c>
      <c r="N17" s="25">
        <f t="shared" si="0"/>
        <v>1</v>
      </c>
      <c r="O17" s="24">
        <f t="shared" si="1"/>
        <v>2000</v>
      </c>
      <c r="Q17" s="15"/>
      <c r="R17" s="27">
        <v>32</v>
      </c>
      <c r="S17" s="28">
        <v>0</v>
      </c>
      <c r="T17" s="29">
        <f>(((1+'[1]Part b'!$B$2)^($G$53-R17)))</f>
        <v>4.7362440744766907E-2</v>
      </c>
      <c r="U17" s="28">
        <f t="shared" si="2"/>
        <v>0</v>
      </c>
      <c r="AG17" s="15"/>
      <c r="AH17" s="27">
        <v>32</v>
      </c>
      <c r="AI17" s="28">
        <v>2000</v>
      </c>
      <c r="AJ17" s="29">
        <f>(((1+'[1]part d_a'!$B$2)^($U$53-AH17+1)))</f>
        <v>5.2098684819243603E-2</v>
      </c>
      <c r="AK17" s="28">
        <f t="shared" si="3"/>
        <v>104.1973696384872</v>
      </c>
      <c r="AL17" s="15"/>
      <c r="AM17" s="27">
        <v>32</v>
      </c>
      <c r="AN17" s="28">
        <v>0</v>
      </c>
      <c r="AO17" s="29">
        <f>(((1+'[1]part d_b'!$B$2)^($Z$53-AM17+1)))</f>
        <v>5.2098684819243603E-2</v>
      </c>
      <c r="AP17" s="28">
        <f t="shared" si="4"/>
        <v>0</v>
      </c>
    </row>
    <row r="18" spans="1:42" ht="15.75" x14ac:dyDescent="0.25">
      <c r="A18" s="13" t="s">
        <v>63</v>
      </c>
      <c r="K18" s="15"/>
      <c r="L18" s="23">
        <v>37</v>
      </c>
      <c r="M18" s="24">
        <v>2000</v>
      </c>
      <c r="N18" s="25">
        <f t="shared" si="0"/>
        <v>1</v>
      </c>
      <c r="O18" s="24">
        <f t="shared" si="1"/>
        <v>2000</v>
      </c>
      <c r="Q18" s="15"/>
      <c r="R18" s="27">
        <v>33</v>
      </c>
      <c r="S18" s="28">
        <v>0</v>
      </c>
      <c r="T18" s="29">
        <f>(((1+'[1]Part b'!$B$2)^($G$53-R18)))</f>
        <v>4.3056764313424457E-2</v>
      </c>
      <c r="U18" s="28">
        <f t="shared" si="2"/>
        <v>0</v>
      </c>
      <c r="AG18" s="15"/>
      <c r="AH18" s="27">
        <v>33</v>
      </c>
      <c r="AI18" s="28">
        <v>2000</v>
      </c>
      <c r="AJ18" s="29">
        <f>(((1+'[1]part d_a'!$B$2)^($U$53-AH18+1)))</f>
        <v>4.7362440744766907E-2</v>
      </c>
      <c r="AK18" s="28">
        <f t="shared" si="3"/>
        <v>94.724881489533814</v>
      </c>
      <c r="AL18" s="15"/>
      <c r="AM18" s="27">
        <v>33</v>
      </c>
      <c r="AN18" s="28">
        <v>0</v>
      </c>
      <c r="AO18" s="29">
        <f>(((1+'[1]part d_b'!$B$2)^($Z$53-AM18+1)))</f>
        <v>4.7362440744766907E-2</v>
      </c>
      <c r="AP18" s="28">
        <f t="shared" si="4"/>
        <v>0</v>
      </c>
    </row>
    <row r="19" spans="1:42" ht="15.75" x14ac:dyDescent="0.25">
      <c r="K19" s="15"/>
      <c r="L19" s="23">
        <v>38</v>
      </c>
      <c r="M19" s="24">
        <v>2000</v>
      </c>
      <c r="N19" s="25">
        <f t="shared" si="0"/>
        <v>1</v>
      </c>
      <c r="O19" s="24">
        <f t="shared" si="1"/>
        <v>2000</v>
      </c>
      <c r="Q19" s="15"/>
      <c r="R19" s="27">
        <v>34</v>
      </c>
      <c r="S19" s="28">
        <v>0</v>
      </c>
      <c r="T19" s="29">
        <f>(((1+'[1]Part b'!$B$2)^($G$53-R19)))</f>
        <v>3.9142513012204054E-2</v>
      </c>
      <c r="U19" s="28">
        <f t="shared" si="2"/>
        <v>0</v>
      </c>
      <c r="AG19" s="15"/>
      <c r="AH19" s="27">
        <v>34</v>
      </c>
      <c r="AI19" s="28">
        <v>2000</v>
      </c>
      <c r="AJ19" s="29">
        <f>(((1+'[1]part d_a'!$B$2)^($U$53-AH19+1)))</f>
        <v>4.3056764313424457E-2</v>
      </c>
      <c r="AK19" s="28">
        <f t="shared" si="3"/>
        <v>86.113528626848918</v>
      </c>
      <c r="AL19" s="15"/>
      <c r="AM19" s="27">
        <v>34</v>
      </c>
      <c r="AN19" s="28">
        <v>0</v>
      </c>
      <c r="AO19" s="29">
        <f>(((1+'[1]part d_b'!$B$2)^($Z$53-AM19+1)))</f>
        <v>4.3056764313424457E-2</v>
      </c>
      <c r="AP19" s="28">
        <f t="shared" si="4"/>
        <v>0</v>
      </c>
    </row>
    <row r="20" spans="1:42" ht="15.75" x14ac:dyDescent="0.25">
      <c r="K20" s="15"/>
      <c r="L20" s="23">
        <v>39</v>
      </c>
      <c r="M20" s="24">
        <v>2000</v>
      </c>
      <c r="N20" s="25">
        <f t="shared" si="0"/>
        <v>1</v>
      </c>
      <c r="O20" s="24">
        <f t="shared" si="1"/>
        <v>2000</v>
      </c>
      <c r="Q20" s="15"/>
      <c r="R20" s="27">
        <v>35</v>
      </c>
      <c r="S20" s="28">
        <v>2000</v>
      </c>
      <c r="T20" s="29">
        <f>(((1+'[1]Part b'!$B$2)^($G$53-R20)))</f>
        <v>3.5584102738367311E-2</v>
      </c>
      <c r="U20" s="28">
        <f t="shared" si="2"/>
        <v>71.168205476734627</v>
      </c>
      <c r="AG20" s="15"/>
      <c r="AH20" s="27">
        <v>35</v>
      </c>
      <c r="AI20" s="28">
        <v>2000</v>
      </c>
      <c r="AJ20" s="29">
        <f>(((1+'[1]part d_a'!$B$2)^($U$53-AH20+1)))</f>
        <v>3.9142513012204054E-2</v>
      </c>
      <c r="AK20" s="28">
        <f t="shared" si="3"/>
        <v>78.285026024408111</v>
      </c>
      <c r="AL20" s="15"/>
      <c r="AM20" s="27">
        <v>35</v>
      </c>
      <c r="AN20" s="28">
        <v>2000</v>
      </c>
      <c r="AO20" s="29">
        <f>(((1+'[1]part d_b'!$B$2)^($Z$53-AM20+1)))</f>
        <v>3.9142513012204054E-2</v>
      </c>
      <c r="AP20" s="28">
        <f t="shared" si="4"/>
        <v>78.285026024408111</v>
      </c>
    </row>
    <row r="21" spans="1:42" ht="15.75" x14ac:dyDescent="0.25">
      <c r="K21" s="15"/>
      <c r="L21" s="23">
        <v>40</v>
      </c>
      <c r="M21" s="24">
        <v>2000</v>
      </c>
      <c r="N21" s="25">
        <f t="shared" si="0"/>
        <v>1</v>
      </c>
      <c r="O21" s="24">
        <f t="shared" si="1"/>
        <v>2000</v>
      </c>
      <c r="Q21" s="15"/>
      <c r="R21" s="27">
        <v>36</v>
      </c>
      <c r="S21" s="28">
        <v>2000</v>
      </c>
      <c r="T21" s="29">
        <f>(((1+'[1]Part b'!$B$2)^($G$53-R21)))</f>
        <v>3.2349184307606652E-2</v>
      </c>
      <c r="U21" s="28">
        <f t="shared" si="2"/>
        <v>64.698368615213298</v>
      </c>
      <c r="AG21" s="15"/>
      <c r="AH21" s="27">
        <v>36</v>
      </c>
      <c r="AI21" s="28">
        <v>2000</v>
      </c>
      <c r="AJ21" s="29">
        <f>(((1+'[1]part d_a'!$B$2)^($U$53-AH21+1)))</f>
        <v>3.5584102738367311E-2</v>
      </c>
      <c r="AK21" s="28">
        <f t="shared" si="3"/>
        <v>71.168205476734627</v>
      </c>
      <c r="AL21" s="15"/>
      <c r="AM21" s="27">
        <v>36</v>
      </c>
      <c r="AN21" s="28">
        <v>2000</v>
      </c>
      <c r="AO21" s="29">
        <f>(((1+'[1]part d_b'!$B$2)^($Z$53-AM21+1)))</f>
        <v>3.5584102738367311E-2</v>
      </c>
      <c r="AP21" s="28">
        <f t="shared" si="4"/>
        <v>71.168205476734627</v>
      </c>
    </row>
    <row r="22" spans="1:42" ht="15.75" x14ac:dyDescent="0.25">
      <c r="K22" s="15"/>
      <c r="L22" s="23">
        <v>41</v>
      </c>
      <c r="M22" s="24">
        <v>2000</v>
      </c>
      <c r="N22" s="25">
        <f t="shared" si="0"/>
        <v>1</v>
      </c>
      <c r="O22" s="24">
        <f t="shared" si="1"/>
        <v>2000</v>
      </c>
      <c r="Q22" s="15"/>
      <c r="R22" s="27">
        <v>37</v>
      </c>
      <c r="S22" s="28">
        <v>2000</v>
      </c>
      <c r="T22" s="29">
        <f>(((1+'[1]Part b'!$B$2)^($G$53-R22)))</f>
        <v>2.94083493705515E-2</v>
      </c>
      <c r="U22" s="28">
        <f t="shared" si="2"/>
        <v>58.816698741102996</v>
      </c>
      <c r="AG22" s="15"/>
      <c r="AH22" s="27">
        <v>37</v>
      </c>
      <c r="AI22" s="28">
        <v>2000</v>
      </c>
      <c r="AJ22" s="29">
        <f>(((1+'[1]part d_a'!$B$2)^($U$53-AH22+1)))</f>
        <v>3.2349184307606652E-2</v>
      </c>
      <c r="AK22" s="28">
        <f t="shared" si="3"/>
        <v>64.698368615213298</v>
      </c>
      <c r="AL22" s="15"/>
      <c r="AM22" s="27">
        <v>37</v>
      </c>
      <c r="AN22" s="28">
        <v>2000</v>
      </c>
      <c r="AO22" s="29">
        <f>(((1+'[1]part d_b'!$B$2)^($Z$53-AM22+1)))</f>
        <v>3.2349184307606652E-2</v>
      </c>
      <c r="AP22" s="28">
        <f t="shared" si="4"/>
        <v>64.698368615213298</v>
      </c>
    </row>
    <row r="23" spans="1:42" ht="15.75" x14ac:dyDescent="0.25">
      <c r="K23" s="15"/>
      <c r="L23" s="23">
        <v>42</v>
      </c>
      <c r="M23" s="24">
        <v>2000</v>
      </c>
      <c r="N23" s="25">
        <f t="shared" si="0"/>
        <v>1</v>
      </c>
      <c r="O23" s="24">
        <f t="shared" si="1"/>
        <v>2000</v>
      </c>
      <c r="Q23" s="15"/>
      <c r="R23" s="27">
        <v>38</v>
      </c>
      <c r="S23" s="28">
        <v>2000</v>
      </c>
      <c r="T23" s="29">
        <f>(((1+'[1]Part b'!$B$2)^($G$53-R23)))</f>
        <v>2.6734863064137721E-2</v>
      </c>
      <c r="U23" s="28">
        <f t="shared" si="2"/>
        <v>53.46972612827544</v>
      </c>
      <c r="AG23" s="15"/>
      <c r="AH23" s="27">
        <v>38</v>
      </c>
      <c r="AI23" s="28">
        <v>2000</v>
      </c>
      <c r="AJ23" s="29">
        <f>(((1+'[1]part d_a'!$B$2)^($U$53-AH23+1)))</f>
        <v>2.94083493705515E-2</v>
      </c>
      <c r="AK23" s="28">
        <f t="shared" si="3"/>
        <v>58.816698741102996</v>
      </c>
      <c r="AL23" s="15"/>
      <c r="AM23" s="27">
        <v>38</v>
      </c>
      <c r="AN23" s="28">
        <v>2000</v>
      </c>
      <c r="AO23" s="29">
        <f>(((1+'[1]part d_b'!$B$2)^($Z$53-AM23+1)))</f>
        <v>2.94083493705515E-2</v>
      </c>
      <c r="AP23" s="28">
        <f t="shared" si="4"/>
        <v>58.816698741102996</v>
      </c>
    </row>
    <row r="24" spans="1:42" ht="15.75" x14ac:dyDescent="0.25">
      <c r="K24" s="15"/>
      <c r="L24" s="23">
        <v>43</v>
      </c>
      <c r="M24" s="24">
        <v>2000</v>
      </c>
      <c r="N24" s="25">
        <f t="shared" si="0"/>
        <v>1</v>
      </c>
      <c r="O24" s="24">
        <f t="shared" si="1"/>
        <v>2000</v>
      </c>
      <c r="Q24" s="15"/>
      <c r="R24" s="27">
        <v>39</v>
      </c>
      <c r="S24" s="28">
        <v>2000</v>
      </c>
      <c r="T24" s="29">
        <f>(((1+'[1]Part b'!$B$2)^($G$53-R24)))</f>
        <v>2.4304420967397926E-2</v>
      </c>
      <c r="U24" s="28">
        <f t="shared" si="2"/>
        <v>48.608841934795855</v>
      </c>
      <c r="AG24" s="15"/>
      <c r="AH24" s="27">
        <v>39</v>
      </c>
      <c r="AI24" s="28">
        <v>2000</v>
      </c>
      <c r="AJ24" s="29">
        <f>(((1+'[1]part d_a'!$B$2)^($U$53-AH24+1)))</f>
        <v>2.6734863064137721E-2</v>
      </c>
      <c r="AK24" s="28">
        <f t="shared" si="3"/>
        <v>53.46972612827544</v>
      </c>
      <c r="AL24" s="15"/>
      <c r="AM24" s="27">
        <v>39</v>
      </c>
      <c r="AN24" s="28">
        <v>2000</v>
      </c>
      <c r="AO24" s="29">
        <f>(((1+'[1]part d_b'!$B$2)^($Z$53-AM24+1)))</f>
        <v>2.6734863064137721E-2</v>
      </c>
      <c r="AP24" s="28">
        <f t="shared" si="4"/>
        <v>53.46972612827544</v>
      </c>
    </row>
    <row r="25" spans="1:42" ht="15.75" x14ac:dyDescent="0.25">
      <c r="K25" s="15"/>
      <c r="L25" s="23">
        <v>44</v>
      </c>
      <c r="M25" s="24">
        <v>2000</v>
      </c>
      <c r="N25" s="25">
        <f t="shared" si="0"/>
        <v>1</v>
      </c>
      <c r="O25" s="24">
        <f t="shared" si="1"/>
        <v>2000</v>
      </c>
      <c r="Q25" s="15"/>
      <c r="R25" s="27">
        <v>40</v>
      </c>
      <c r="S25" s="28">
        <v>2000</v>
      </c>
      <c r="T25" s="29">
        <f>(((1+'[1]Part b'!$B$2)^($G$53-R25)))</f>
        <v>2.2094928152179935E-2</v>
      </c>
      <c r="U25" s="28">
        <f t="shared" si="2"/>
        <v>44.189856304359871</v>
      </c>
      <c r="AG25" s="15"/>
      <c r="AH25" s="27">
        <v>40</v>
      </c>
      <c r="AI25" s="28">
        <v>2000</v>
      </c>
      <c r="AJ25" s="29">
        <f>(((1+'[1]part d_a'!$B$2)^($U$53-AH25+1)))</f>
        <v>2.4304420967397926E-2</v>
      </c>
      <c r="AK25" s="28">
        <f t="shared" si="3"/>
        <v>48.608841934795855</v>
      </c>
      <c r="AL25" s="15"/>
      <c r="AM25" s="27">
        <v>40</v>
      </c>
      <c r="AN25" s="28">
        <v>2000</v>
      </c>
      <c r="AO25" s="29">
        <f>(((1+'[1]part d_b'!$B$2)^($Z$53-AM25+1)))</f>
        <v>2.4304420967397926E-2</v>
      </c>
      <c r="AP25" s="28">
        <f t="shared" si="4"/>
        <v>48.608841934795855</v>
      </c>
    </row>
    <row r="26" spans="1:42" ht="15.75" x14ac:dyDescent="0.25">
      <c r="K26" s="15"/>
      <c r="L26" s="23">
        <v>45</v>
      </c>
      <c r="M26" s="24">
        <v>2000</v>
      </c>
      <c r="N26" s="25">
        <f t="shared" si="0"/>
        <v>1</v>
      </c>
      <c r="O26" s="24">
        <f t="shared" si="1"/>
        <v>2000</v>
      </c>
      <c r="Q26" s="15"/>
      <c r="R26" s="27">
        <v>41</v>
      </c>
      <c r="S26" s="28">
        <v>2000</v>
      </c>
      <c r="T26" s="29">
        <f>(((1+'[1]Part b'!$B$2)^($G$53-R26)))</f>
        <v>2.0086298320163575E-2</v>
      </c>
      <c r="U26" s="28">
        <f t="shared" si="2"/>
        <v>40.17259664032715</v>
      </c>
      <c r="AG26" s="15"/>
      <c r="AH26" s="27">
        <v>41</v>
      </c>
      <c r="AI26" s="28">
        <v>2000</v>
      </c>
      <c r="AJ26" s="29">
        <f>(((1+'[1]part d_a'!$B$2)^($U$53-AH26+1)))</f>
        <v>2.2094928152179935E-2</v>
      </c>
      <c r="AK26" s="28">
        <f t="shared" si="3"/>
        <v>44.189856304359871</v>
      </c>
      <c r="AL26" s="15"/>
      <c r="AM26" s="27">
        <v>41</v>
      </c>
      <c r="AN26" s="28">
        <v>2000</v>
      </c>
      <c r="AO26" s="29">
        <f>(((1+'[1]part d_b'!$B$2)^($Z$53-AM26+1)))</f>
        <v>2.2094928152179935E-2</v>
      </c>
      <c r="AP26" s="28">
        <f t="shared" si="4"/>
        <v>44.189856304359871</v>
      </c>
    </row>
    <row r="27" spans="1:42" ht="15.75" x14ac:dyDescent="0.25">
      <c r="K27" s="15"/>
      <c r="L27" s="23">
        <v>46</v>
      </c>
      <c r="M27" s="24">
        <v>2000</v>
      </c>
      <c r="N27" s="25">
        <f t="shared" si="0"/>
        <v>1</v>
      </c>
      <c r="O27" s="24">
        <f t="shared" si="1"/>
        <v>2000</v>
      </c>
      <c r="Q27" s="15"/>
      <c r="R27" s="27">
        <v>42</v>
      </c>
      <c r="S27" s="28">
        <v>2000</v>
      </c>
      <c r="T27" s="29">
        <f>(((1+'[1]Part b'!$B$2)^($G$53-R27)))</f>
        <v>1.8260271200148705E-2</v>
      </c>
      <c r="U27" s="28">
        <f t="shared" si="2"/>
        <v>36.520542400297408</v>
      </c>
      <c r="AG27" s="15"/>
      <c r="AH27" s="27">
        <v>42</v>
      </c>
      <c r="AI27" s="28">
        <v>2000</v>
      </c>
      <c r="AJ27" s="29">
        <f>(((1+'[1]part d_a'!$B$2)^($U$53-AH27+1)))</f>
        <v>2.0086298320163575E-2</v>
      </c>
      <c r="AK27" s="28">
        <f t="shared" si="3"/>
        <v>40.17259664032715</v>
      </c>
      <c r="AL27" s="15"/>
      <c r="AM27" s="27">
        <v>42</v>
      </c>
      <c r="AN27" s="28">
        <v>2000</v>
      </c>
      <c r="AO27" s="29">
        <f>(((1+'[1]part d_b'!$B$2)^($Z$53-AM27+1)))</f>
        <v>2.0086298320163575E-2</v>
      </c>
      <c r="AP27" s="28">
        <f t="shared" si="4"/>
        <v>40.17259664032715</v>
      </c>
    </row>
    <row r="28" spans="1:42" ht="15.75" x14ac:dyDescent="0.25">
      <c r="K28" s="15"/>
      <c r="L28" s="23">
        <v>47</v>
      </c>
      <c r="M28" s="24">
        <v>2000</v>
      </c>
      <c r="N28" s="25">
        <f t="shared" si="0"/>
        <v>1</v>
      </c>
      <c r="O28" s="24">
        <f t="shared" si="1"/>
        <v>2000</v>
      </c>
      <c r="Q28" s="15"/>
      <c r="R28" s="27">
        <v>43</v>
      </c>
      <c r="S28" s="28">
        <v>2000</v>
      </c>
      <c r="T28" s="29">
        <f>(((1+'[1]Part b'!$B$2)^($G$53-R28)))</f>
        <v>1.6600246545589729E-2</v>
      </c>
      <c r="U28" s="28">
        <f t="shared" si="2"/>
        <v>33.20049309117946</v>
      </c>
      <c r="AG28" s="15"/>
      <c r="AH28" s="27">
        <v>43</v>
      </c>
      <c r="AI28" s="28">
        <v>2000</v>
      </c>
      <c r="AJ28" s="29">
        <f>(((1+'[1]part d_a'!$B$2)^($U$53-AH28+1)))</f>
        <v>1.8260271200148705E-2</v>
      </c>
      <c r="AK28" s="28">
        <f t="shared" si="3"/>
        <v>36.520542400297408</v>
      </c>
      <c r="AL28" s="15"/>
      <c r="AM28" s="27">
        <v>43</v>
      </c>
      <c r="AN28" s="28">
        <v>2000</v>
      </c>
      <c r="AO28" s="29">
        <f>(((1+'[1]part d_b'!$B$2)^($Z$53-AM28+1)))</f>
        <v>1.8260271200148705E-2</v>
      </c>
      <c r="AP28" s="28">
        <f t="shared" si="4"/>
        <v>36.520542400297408</v>
      </c>
    </row>
    <row r="29" spans="1:42" ht="15.75" x14ac:dyDescent="0.25">
      <c r="K29" s="15"/>
      <c r="L29" s="23">
        <v>48</v>
      </c>
      <c r="M29" s="24">
        <v>2000</v>
      </c>
      <c r="N29" s="25">
        <f t="shared" si="0"/>
        <v>1</v>
      </c>
      <c r="O29" s="24">
        <f t="shared" si="1"/>
        <v>2000</v>
      </c>
      <c r="Q29" s="15"/>
      <c r="R29" s="27">
        <v>44</v>
      </c>
      <c r="S29" s="28">
        <v>2000</v>
      </c>
      <c r="T29" s="29">
        <f>(((1+'[1]Part b'!$B$2)^($G$53-R29)))</f>
        <v>1.5091133223263388E-2</v>
      </c>
      <c r="U29" s="28">
        <f t="shared" si="2"/>
        <v>30.182266446526775</v>
      </c>
      <c r="AG29" s="15"/>
      <c r="AH29" s="27">
        <v>44</v>
      </c>
      <c r="AI29" s="28">
        <v>2000</v>
      </c>
      <c r="AJ29" s="29">
        <f>(((1+'[1]part d_a'!$B$2)^($U$53-AH29+1)))</f>
        <v>1.6600246545589729E-2</v>
      </c>
      <c r="AK29" s="28">
        <f t="shared" si="3"/>
        <v>33.20049309117946</v>
      </c>
      <c r="AL29" s="15"/>
      <c r="AM29" s="27">
        <v>44</v>
      </c>
      <c r="AN29" s="28">
        <v>2000</v>
      </c>
      <c r="AO29" s="29">
        <f>(((1+'[1]part d_b'!$B$2)^($Z$53-AM29+1)))</f>
        <v>1.6600246545589729E-2</v>
      </c>
      <c r="AP29" s="28">
        <f t="shared" si="4"/>
        <v>33.20049309117946</v>
      </c>
    </row>
    <row r="30" spans="1:42" ht="15.75" x14ac:dyDescent="0.25">
      <c r="K30" s="15"/>
      <c r="L30" s="23">
        <v>49</v>
      </c>
      <c r="M30" s="24">
        <v>2000</v>
      </c>
      <c r="N30" s="25">
        <f t="shared" si="0"/>
        <v>1</v>
      </c>
      <c r="O30" s="24">
        <f t="shared" si="1"/>
        <v>2000</v>
      </c>
      <c r="Q30" s="15"/>
      <c r="R30" s="27">
        <v>45</v>
      </c>
      <c r="S30" s="28">
        <v>2000</v>
      </c>
      <c r="T30" s="29">
        <f>(((1+'[1]Part b'!$B$2)^($G$53-R30)))</f>
        <v>1.3719212021148534E-2</v>
      </c>
      <c r="U30" s="28">
        <f t="shared" si="2"/>
        <v>27.438424042297068</v>
      </c>
      <c r="AG30" s="15"/>
      <c r="AH30" s="27">
        <v>45</v>
      </c>
      <c r="AI30" s="28">
        <v>2000</v>
      </c>
      <c r="AJ30" s="29">
        <f>(((1+'[1]part d_a'!$B$2)^($U$53-AH30+1)))</f>
        <v>1.5091133223263388E-2</v>
      </c>
      <c r="AK30" s="28">
        <f t="shared" si="3"/>
        <v>30.182266446526775</v>
      </c>
      <c r="AL30" s="15"/>
      <c r="AM30" s="27">
        <v>45</v>
      </c>
      <c r="AN30" s="28">
        <v>2000</v>
      </c>
      <c r="AO30" s="29">
        <f>(((1+'[1]part d_b'!$B$2)^($Z$53-AM30+1)))</f>
        <v>1.5091133223263388E-2</v>
      </c>
      <c r="AP30" s="28">
        <f t="shared" si="4"/>
        <v>30.182266446526775</v>
      </c>
    </row>
    <row r="31" spans="1:42" ht="15.75" x14ac:dyDescent="0.25">
      <c r="K31" s="15"/>
      <c r="L31" s="23">
        <v>50</v>
      </c>
      <c r="M31" s="24">
        <v>2000</v>
      </c>
      <c r="N31" s="25">
        <f t="shared" si="0"/>
        <v>1</v>
      </c>
      <c r="O31" s="24">
        <f t="shared" si="1"/>
        <v>2000</v>
      </c>
      <c r="Q31" s="15"/>
      <c r="R31" s="27">
        <v>46</v>
      </c>
      <c r="S31" s="28">
        <v>2000</v>
      </c>
      <c r="T31" s="29">
        <f>(((1+'[1]Part b'!$B$2)^($G$53-R31)))</f>
        <v>1.2472010928316847E-2</v>
      </c>
      <c r="U31" s="28">
        <f t="shared" si="2"/>
        <v>24.944021856633693</v>
      </c>
      <c r="AG31" s="15"/>
      <c r="AH31" s="27">
        <v>46</v>
      </c>
      <c r="AI31" s="28">
        <v>2000</v>
      </c>
      <c r="AJ31" s="29">
        <f>(((1+'[1]part d_a'!$B$2)^($U$53-AH31+1)))</f>
        <v>1.3719212021148534E-2</v>
      </c>
      <c r="AK31" s="28">
        <f t="shared" si="3"/>
        <v>27.438424042297068</v>
      </c>
      <c r="AL31" s="15"/>
      <c r="AM31" s="27">
        <v>46</v>
      </c>
      <c r="AN31" s="28">
        <v>2000</v>
      </c>
      <c r="AO31" s="29">
        <f>(((1+'[1]part d_b'!$B$2)^($Z$53-AM31+1)))</f>
        <v>1.3719212021148534E-2</v>
      </c>
      <c r="AP31" s="28">
        <f t="shared" si="4"/>
        <v>27.438424042297068</v>
      </c>
    </row>
    <row r="32" spans="1:42" ht="15.75" x14ac:dyDescent="0.25">
      <c r="K32" s="15"/>
      <c r="L32" s="23">
        <v>51</v>
      </c>
      <c r="M32" s="24">
        <v>2000</v>
      </c>
      <c r="N32" s="25">
        <f t="shared" si="0"/>
        <v>1</v>
      </c>
      <c r="O32" s="24">
        <f t="shared" si="1"/>
        <v>2000</v>
      </c>
      <c r="Q32" s="15"/>
      <c r="R32" s="27">
        <v>47</v>
      </c>
      <c r="S32" s="28">
        <v>2000</v>
      </c>
      <c r="T32" s="29">
        <f>(((1+'[1]Part b'!$B$2)^($G$53-R32)))</f>
        <v>1.1338191753015316E-2</v>
      </c>
      <c r="U32" s="28">
        <f t="shared" si="2"/>
        <v>22.676383506030632</v>
      </c>
      <c r="AG32" s="15"/>
      <c r="AH32" s="27">
        <v>47</v>
      </c>
      <c r="AI32" s="28">
        <v>2000</v>
      </c>
      <c r="AJ32" s="29">
        <f>(((1+'[1]part d_a'!$B$2)^($U$53-AH32+1)))</f>
        <v>1.2472010928316847E-2</v>
      </c>
      <c r="AK32" s="28">
        <f t="shared" si="3"/>
        <v>24.944021856633693</v>
      </c>
      <c r="AL32" s="15"/>
      <c r="AM32" s="27">
        <v>47</v>
      </c>
      <c r="AN32" s="28">
        <v>2000</v>
      </c>
      <c r="AO32" s="29">
        <f>(((1+'[1]part d_b'!$B$2)^($Z$53-AM32+1)))</f>
        <v>1.2472010928316847E-2</v>
      </c>
      <c r="AP32" s="28">
        <f t="shared" si="4"/>
        <v>24.944021856633693</v>
      </c>
    </row>
    <row r="33" spans="11:42" ht="15.75" x14ac:dyDescent="0.25">
      <c r="K33" s="15"/>
      <c r="L33" s="23">
        <v>52</v>
      </c>
      <c r="M33" s="24">
        <v>2000</v>
      </c>
      <c r="N33" s="25">
        <f t="shared" si="0"/>
        <v>1</v>
      </c>
      <c r="O33" s="24">
        <f t="shared" si="1"/>
        <v>2000</v>
      </c>
      <c r="Q33" s="15"/>
      <c r="R33" s="27">
        <v>48</v>
      </c>
      <c r="S33" s="28">
        <v>2000</v>
      </c>
      <c r="T33" s="29">
        <f>(((1+'[1]Part b'!$B$2)^($G$53-R33)))</f>
        <v>1.0307447048195742E-2</v>
      </c>
      <c r="U33" s="28">
        <f t="shared" si="2"/>
        <v>20.614894096391485</v>
      </c>
      <c r="AG33" s="15"/>
      <c r="AH33" s="27">
        <v>48</v>
      </c>
      <c r="AI33" s="28">
        <v>2000</v>
      </c>
      <c r="AJ33" s="29">
        <f>(((1+'[1]part d_a'!$B$2)^($U$53-AH33+1)))</f>
        <v>1.1338191753015316E-2</v>
      </c>
      <c r="AK33" s="28">
        <f t="shared" si="3"/>
        <v>22.676383506030632</v>
      </c>
      <c r="AL33" s="15"/>
      <c r="AM33" s="27">
        <v>48</v>
      </c>
      <c r="AN33" s="28">
        <v>2000</v>
      </c>
      <c r="AO33" s="29">
        <f>(((1+'[1]part d_b'!$B$2)^($Z$53-AM33+1)))</f>
        <v>1.1338191753015316E-2</v>
      </c>
      <c r="AP33" s="28">
        <f t="shared" si="4"/>
        <v>22.676383506030632</v>
      </c>
    </row>
    <row r="34" spans="11:42" ht="15.75" x14ac:dyDescent="0.25">
      <c r="K34" s="15"/>
      <c r="L34" s="23">
        <v>53</v>
      </c>
      <c r="M34" s="24">
        <v>2000</v>
      </c>
      <c r="N34" s="25">
        <f t="shared" si="0"/>
        <v>1</v>
      </c>
      <c r="O34" s="24">
        <f t="shared" si="1"/>
        <v>2000</v>
      </c>
      <c r="Q34" s="15"/>
      <c r="R34" s="27">
        <v>49</v>
      </c>
      <c r="S34" s="28">
        <v>2000</v>
      </c>
      <c r="T34" s="29">
        <f>(((1+'[1]Part b'!$B$2)^($G$53-R34)))</f>
        <v>9.3704064074506734E-3</v>
      </c>
      <c r="U34" s="28">
        <f t="shared" si="2"/>
        <v>18.740812814901346</v>
      </c>
      <c r="AG34" s="15"/>
      <c r="AH34" s="27">
        <v>49</v>
      </c>
      <c r="AI34" s="28">
        <v>2000</v>
      </c>
      <c r="AJ34" s="29">
        <f>(((1+'[1]part d_a'!$B$2)^($U$53-AH34+1)))</f>
        <v>1.0307447048195742E-2</v>
      </c>
      <c r="AK34" s="28">
        <f t="shared" si="3"/>
        <v>20.614894096391485</v>
      </c>
      <c r="AL34" s="15"/>
      <c r="AM34" s="27">
        <v>49</v>
      </c>
      <c r="AN34" s="28">
        <v>2000</v>
      </c>
      <c r="AO34" s="29">
        <f>(((1+'[1]part d_b'!$B$2)^($Z$53-AM34+1)))</f>
        <v>1.0307447048195742E-2</v>
      </c>
      <c r="AP34" s="28">
        <f t="shared" si="4"/>
        <v>20.614894096391485</v>
      </c>
    </row>
    <row r="35" spans="11:42" ht="15.75" x14ac:dyDescent="0.25">
      <c r="K35" s="15"/>
      <c r="L35" s="23">
        <v>54</v>
      </c>
      <c r="M35" s="24">
        <v>2000</v>
      </c>
      <c r="N35" s="25">
        <f t="shared" si="0"/>
        <v>1</v>
      </c>
      <c r="O35" s="24">
        <f t="shared" si="1"/>
        <v>2000</v>
      </c>
      <c r="Q35" s="15"/>
      <c r="R35" s="27">
        <v>50</v>
      </c>
      <c r="S35" s="28">
        <v>2000</v>
      </c>
      <c r="T35" s="29">
        <f>(((1+'[1]Part b'!$B$2)^($G$53-R35)))</f>
        <v>8.5185512795006111E-3</v>
      </c>
      <c r="U35" s="28">
        <f t="shared" si="2"/>
        <v>17.037102559001223</v>
      </c>
      <c r="AG35" s="15"/>
      <c r="AH35" s="27">
        <v>50</v>
      </c>
      <c r="AI35" s="28">
        <v>2000</v>
      </c>
      <c r="AJ35" s="29">
        <f>(((1+'[1]part d_a'!$B$2)^($U$53-AH35+1)))</f>
        <v>9.3704064074506734E-3</v>
      </c>
      <c r="AK35" s="28">
        <f t="shared" si="3"/>
        <v>18.740812814901346</v>
      </c>
      <c r="AL35" s="15"/>
      <c r="AM35" s="27">
        <v>50</v>
      </c>
      <c r="AN35" s="28">
        <v>2000</v>
      </c>
      <c r="AO35" s="29">
        <f>(((1+'[1]part d_b'!$B$2)^($Z$53-AM35+1)))</f>
        <v>9.3704064074506734E-3</v>
      </c>
      <c r="AP35" s="28">
        <f t="shared" si="4"/>
        <v>18.740812814901346</v>
      </c>
    </row>
    <row r="36" spans="11:42" ht="15.75" x14ac:dyDescent="0.25">
      <c r="K36" s="15"/>
      <c r="L36" s="23">
        <v>55</v>
      </c>
      <c r="M36" s="24">
        <v>2000</v>
      </c>
      <c r="N36" s="25">
        <f t="shared" si="0"/>
        <v>1</v>
      </c>
      <c r="O36" s="24">
        <f t="shared" si="1"/>
        <v>2000</v>
      </c>
      <c r="Q36" s="15"/>
      <c r="R36" s="27">
        <v>51</v>
      </c>
      <c r="S36" s="28">
        <v>2000</v>
      </c>
      <c r="T36" s="29">
        <f>(((1+'[1]Part b'!$B$2)^($G$53-R36)))</f>
        <v>7.744137526818737E-3</v>
      </c>
      <c r="U36" s="28">
        <f t="shared" si="2"/>
        <v>15.488275053637475</v>
      </c>
      <c r="AG36" s="15"/>
      <c r="AH36" s="27">
        <v>51</v>
      </c>
      <c r="AI36" s="28">
        <v>2000</v>
      </c>
      <c r="AJ36" s="29">
        <f>(((1+'[1]part d_a'!$B$2)^($U$53-AH36+1)))</f>
        <v>8.5185512795006111E-3</v>
      </c>
      <c r="AK36" s="28">
        <f t="shared" si="3"/>
        <v>17.037102559001223</v>
      </c>
      <c r="AL36" s="15"/>
      <c r="AM36" s="27">
        <v>51</v>
      </c>
      <c r="AN36" s="28">
        <v>2000</v>
      </c>
      <c r="AO36" s="29">
        <f>(((1+'[1]part d_b'!$B$2)^($Z$53-AM36+1)))</f>
        <v>8.5185512795006111E-3</v>
      </c>
      <c r="AP36" s="28">
        <f t="shared" si="4"/>
        <v>17.037102559001223</v>
      </c>
    </row>
    <row r="37" spans="11:42" ht="15.75" x14ac:dyDescent="0.25">
      <c r="K37" s="15"/>
      <c r="L37" s="23">
        <v>56</v>
      </c>
      <c r="M37" s="24">
        <v>2000</v>
      </c>
      <c r="N37" s="25">
        <f t="shared" si="0"/>
        <v>1</v>
      </c>
      <c r="O37" s="24">
        <f t="shared" si="1"/>
        <v>2000</v>
      </c>
      <c r="Q37" s="15"/>
      <c r="R37" s="27">
        <v>52</v>
      </c>
      <c r="S37" s="28">
        <v>2000</v>
      </c>
      <c r="T37" s="29">
        <f>(((1+'[1]Part b'!$B$2)^($G$53-R37)))</f>
        <v>7.0401250243806697E-3</v>
      </c>
      <c r="U37" s="28">
        <f t="shared" si="2"/>
        <v>14.080250048761339</v>
      </c>
      <c r="AG37" s="15"/>
      <c r="AH37" s="27">
        <v>52</v>
      </c>
      <c r="AI37" s="28">
        <v>2000</v>
      </c>
      <c r="AJ37" s="29">
        <f>(((1+'[1]part d_a'!$B$2)^($U$53-AH37+1)))</f>
        <v>7.744137526818737E-3</v>
      </c>
      <c r="AK37" s="28">
        <f t="shared" si="3"/>
        <v>15.488275053637475</v>
      </c>
      <c r="AL37" s="15"/>
      <c r="AM37" s="27">
        <v>52</v>
      </c>
      <c r="AN37" s="28">
        <v>2000</v>
      </c>
      <c r="AO37" s="29">
        <f>(((1+'[1]part d_b'!$B$2)^($Z$53-AM37+1)))</f>
        <v>7.744137526818737E-3</v>
      </c>
      <c r="AP37" s="28">
        <f t="shared" si="4"/>
        <v>15.488275053637475</v>
      </c>
    </row>
    <row r="38" spans="11:42" ht="15.75" x14ac:dyDescent="0.25">
      <c r="K38" s="15"/>
      <c r="L38" s="23">
        <v>57</v>
      </c>
      <c r="M38" s="24">
        <v>2000</v>
      </c>
      <c r="N38" s="25">
        <f t="shared" si="0"/>
        <v>1</v>
      </c>
      <c r="O38" s="24">
        <f t="shared" si="1"/>
        <v>2000</v>
      </c>
      <c r="Q38" s="15"/>
      <c r="R38" s="27">
        <v>53</v>
      </c>
      <c r="S38" s="28">
        <v>2000</v>
      </c>
      <c r="T38" s="29">
        <f>(((1+'[1]Part b'!$B$2)^($G$53-R38)))</f>
        <v>6.4001136585278805E-3</v>
      </c>
      <c r="U38" s="28">
        <f t="shared" si="2"/>
        <v>12.800227317055761</v>
      </c>
      <c r="AG38" s="15"/>
      <c r="AH38" s="27">
        <v>53</v>
      </c>
      <c r="AI38" s="28">
        <v>2000</v>
      </c>
      <c r="AJ38" s="29">
        <f>(((1+'[1]part d_a'!$B$2)^($U$53-AH38+1)))</f>
        <v>7.0401250243806697E-3</v>
      </c>
      <c r="AK38" s="28">
        <f t="shared" si="3"/>
        <v>14.080250048761339</v>
      </c>
      <c r="AL38" s="15"/>
      <c r="AM38" s="27">
        <v>53</v>
      </c>
      <c r="AN38" s="28">
        <v>2000</v>
      </c>
      <c r="AO38" s="29">
        <f>(((1+'[1]part d_b'!$B$2)^($Z$53-AM38+1)))</f>
        <v>7.0401250243806697E-3</v>
      </c>
      <c r="AP38" s="28">
        <f t="shared" si="4"/>
        <v>14.080250048761339</v>
      </c>
    </row>
    <row r="39" spans="11:42" ht="15.75" x14ac:dyDescent="0.25">
      <c r="K39" s="15"/>
      <c r="L39" s="23">
        <v>58</v>
      </c>
      <c r="M39" s="24">
        <v>2000</v>
      </c>
      <c r="N39" s="25">
        <f t="shared" si="0"/>
        <v>1</v>
      </c>
      <c r="O39" s="24">
        <f t="shared" si="1"/>
        <v>2000</v>
      </c>
      <c r="Q39" s="15"/>
      <c r="R39" s="27">
        <v>54</v>
      </c>
      <c r="S39" s="28">
        <v>2000</v>
      </c>
      <c r="T39" s="29">
        <f>(((1+'[1]Part b'!$B$2)^($G$53-R39)))</f>
        <v>5.8182851441162548E-3</v>
      </c>
      <c r="U39" s="28">
        <f t="shared" si="2"/>
        <v>11.636570288232509</v>
      </c>
      <c r="AG39" s="15"/>
      <c r="AH39" s="27">
        <v>54</v>
      </c>
      <c r="AI39" s="28">
        <v>2000</v>
      </c>
      <c r="AJ39" s="29">
        <f>(((1+'[1]part d_a'!$B$2)^($U$53-AH39+1)))</f>
        <v>6.4001136585278805E-3</v>
      </c>
      <c r="AK39" s="28">
        <f t="shared" si="3"/>
        <v>12.800227317055761</v>
      </c>
      <c r="AL39" s="15"/>
      <c r="AM39" s="27">
        <v>54</v>
      </c>
      <c r="AN39" s="28">
        <v>2000</v>
      </c>
      <c r="AO39" s="29">
        <f>(((1+'[1]part d_b'!$B$2)^($Z$53-AM39+1)))</f>
        <v>6.4001136585278805E-3</v>
      </c>
      <c r="AP39" s="28">
        <f t="shared" si="4"/>
        <v>12.800227317055761</v>
      </c>
    </row>
    <row r="40" spans="11:42" ht="15.75" x14ac:dyDescent="0.25">
      <c r="K40" s="15"/>
      <c r="L40" s="23">
        <v>59</v>
      </c>
      <c r="M40" s="24">
        <v>2000</v>
      </c>
      <c r="N40" s="25">
        <f t="shared" si="0"/>
        <v>1</v>
      </c>
      <c r="O40" s="24">
        <f t="shared" si="1"/>
        <v>2000</v>
      </c>
      <c r="Q40" s="15"/>
      <c r="R40" s="27">
        <v>55</v>
      </c>
      <c r="S40" s="28">
        <v>2000</v>
      </c>
      <c r="T40" s="29">
        <f>(((1+'[1]Part b'!$B$2)^($G$53-R40)))</f>
        <v>5.2893501310147762E-3</v>
      </c>
      <c r="U40" s="28">
        <f t="shared" si="2"/>
        <v>10.578700262029553</v>
      </c>
      <c r="AG40" s="15"/>
      <c r="AH40" s="27">
        <v>55</v>
      </c>
      <c r="AI40" s="28">
        <v>2000</v>
      </c>
      <c r="AJ40" s="29">
        <f>(((1+'[1]part d_a'!$B$2)^($U$53-AH40+1)))</f>
        <v>5.8182851441162548E-3</v>
      </c>
      <c r="AK40" s="28">
        <f t="shared" si="3"/>
        <v>11.636570288232509</v>
      </c>
      <c r="AL40" s="15"/>
      <c r="AM40" s="27">
        <v>55</v>
      </c>
      <c r="AN40" s="28">
        <v>2000</v>
      </c>
      <c r="AO40" s="29">
        <f>(((1+'[1]part d_b'!$B$2)^($Z$53-AM40+1)))</f>
        <v>5.8182851441162548E-3</v>
      </c>
      <c r="AP40" s="28">
        <f t="shared" si="4"/>
        <v>11.636570288232509</v>
      </c>
    </row>
    <row r="41" spans="11:42" ht="15.75" x14ac:dyDescent="0.25">
      <c r="K41" s="15"/>
      <c r="L41" s="23">
        <v>60</v>
      </c>
      <c r="M41" s="24">
        <v>2000</v>
      </c>
      <c r="N41" s="25">
        <f t="shared" si="0"/>
        <v>1</v>
      </c>
      <c r="O41" s="24">
        <f t="shared" si="1"/>
        <v>2000</v>
      </c>
      <c r="Q41" s="15"/>
      <c r="R41" s="27">
        <v>56</v>
      </c>
      <c r="S41" s="28">
        <v>2000</v>
      </c>
      <c r="T41" s="29">
        <f>(((1+'[1]Part b'!$B$2)^($G$53-R41)))</f>
        <v>4.808500119104343E-3</v>
      </c>
      <c r="U41" s="28">
        <f t="shared" si="2"/>
        <v>9.6170002382086857</v>
      </c>
      <c r="AG41" s="15"/>
      <c r="AH41" s="27">
        <v>56</v>
      </c>
      <c r="AI41" s="28">
        <v>2000</v>
      </c>
      <c r="AJ41" s="29">
        <f>(((1+'[1]part d_a'!$B$2)^($U$53-AH41+1)))</f>
        <v>5.2893501310147762E-3</v>
      </c>
      <c r="AK41" s="28">
        <f t="shared" si="3"/>
        <v>10.578700262029553</v>
      </c>
      <c r="AL41" s="15"/>
      <c r="AM41" s="27">
        <v>56</v>
      </c>
      <c r="AN41" s="28">
        <v>2000</v>
      </c>
      <c r="AO41" s="29">
        <f>(((1+'[1]part d_b'!$B$2)^($Z$53-AM41+1)))</f>
        <v>5.2893501310147762E-3</v>
      </c>
      <c r="AP41" s="28">
        <f t="shared" si="4"/>
        <v>10.578700262029553</v>
      </c>
    </row>
    <row r="42" spans="11:42" ht="15.75" x14ac:dyDescent="0.25">
      <c r="K42" s="15"/>
      <c r="L42" s="23">
        <v>61</v>
      </c>
      <c r="M42" s="24">
        <v>2000</v>
      </c>
      <c r="N42" s="25">
        <f t="shared" si="0"/>
        <v>1</v>
      </c>
      <c r="O42" s="24">
        <f t="shared" si="1"/>
        <v>2000</v>
      </c>
      <c r="Q42" s="15"/>
      <c r="R42" s="27">
        <v>57</v>
      </c>
      <c r="S42" s="28">
        <v>2000</v>
      </c>
      <c r="T42" s="29">
        <f>(((1+'[1]Part b'!$B$2)^($G$53-R42)))</f>
        <v>4.3713637446403109E-3</v>
      </c>
      <c r="U42" s="28">
        <f t="shared" si="2"/>
        <v>8.7427274892806217</v>
      </c>
      <c r="AG42" s="15"/>
      <c r="AH42" s="27">
        <v>57</v>
      </c>
      <c r="AI42" s="28">
        <v>2000</v>
      </c>
      <c r="AJ42" s="29">
        <f>(((1+'[1]part d_a'!$B$2)^($U$53-AH42+1)))</f>
        <v>4.808500119104343E-3</v>
      </c>
      <c r="AK42" s="28">
        <f t="shared" si="3"/>
        <v>9.6170002382086857</v>
      </c>
      <c r="AL42" s="15"/>
      <c r="AM42" s="27">
        <v>57</v>
      </c>
      <c r="AN42" s="28">
        <v>2000</v>
      </c>
      <c r="AO42" s="29">
        <f>(((1+'[1]part d_b'!$B$2)^($Z$53-AM42+1)))</f>
        <v>4.808500119104343E-3</v>
      </c>
      <c r="AP42" s="28">
        <f t="shared" si="4"/>
        <v>9.6170002382086857</v>
      </c>
    </row>
    <row r="43" spans="11:42" ht="15.75" x14ac:dyDescent="0.25">
      <c r="K43" s="15"/>
      <c r="L43" s="23">
        <v>62</v>
      </c>
      <c r="M43" s="24">
        <v>2000</v>
      </c>
      <c r="N43" s="25">
        <f t="shared" si="0"/>
        <v>1</v>
      </c>
      <c r="O43" s="24">
        <f t="shared" si="1"/>
        <v>2000</v>
      </c>
      <c r="Q43" s="15"/>
      <c r="R43" s="27">
        <v>58</v>
      </c>
      <c r="S43" s="28">
        <v>2000</v>
      </c>
      <c r="T43" s="29">
        <f>(((1+'[1]Part b'!$B$2)^($G$53-R43)))</f>
        <v>3.9739670405821012E-3</v>
      </c>
      <c r="U43" s="28">
        <f t="shared" si="2"/>
        <v>7.9479340811642025</v>
      </c>
      <c r="AG43" s="15"/>
      <c r="AH43" s="27">
        <v>58</v>
      </c>
      <c r="AI43" s="28">
        <v>2000</v>
      </c>
      <c r="AJ43" s="29">
        <f>(((1+'[1]part d_a'!$B$2)^($U$53-AH43+1)))</f>
        <v>4.3713637446403109E-3</v>
      </c>
      <c r="AK43" s="28">
        <f t="shared" si="3"/>
        <v>8.7427274892806217</v>
      </c>
      <c r="AL43" s="15"/>
      <c r="AM43" s="27">
        <v>58</v>
      </c>
      <c r="AN43" s="28">
        <v>2000</v>
      </c>
      <c r="AO43" s="29">
        <f>(((1+'[1]part d_b'!$B$2)^($Z$53-AM43+1)))</f>
        <v>4.3713637446403109E-3</v>
      </c>
      <c r="AP43" s="28">
        <f t="shared" si="4"/>
        <v>8.7427274892806217</v>
      </c>
    </row>
    <row r="44" spans="11:42" ht="15.75" x14ac:dyDescent="0.25">
      <c r="K44" s="15"/>
      <c r="L44" s="23">
        <v>63</v>
      </c>
      <c r="M44" s="24">
        <v>2000</v>
      </c>
      <c r="N44" s="25">
        <f t="shared" si="0"/>
        <v>1</v>
      </c>
      <c r="O44" s="24">
        <f t="shared" si="1"/>
        <v>2000</v>
      </c>
      <c r="Q44" s="15"/>
      <c r="R44" s="27">
        <v>59</v>
      </c>
      <c r="S44" s="28">
        <v>2000</v>
      </c>
      <c r="T44" s="29">
        <f>(((1+'[1]Part b'!$B$2)^($G$53-R44)))</f>
        <v>3.6126973096200906E-3</v>
      </c>
      <c r="U44" s="28">
        <f t="shared" si="2"/>
        <v>7.2253946192401814</v>
      </c>
      <c r="AG44" s="15"/>
      <c r="AH44" s="27">
        <v>59</v>
      </c>
      <c r="AI44" s="28">
        <v>2000</v>
      </c>
      <c r="AJ44" s="29">
        <f>(((1+'[1]part d_a'!$B$2)^($U$53-AH44+1)))</f>
        <v>3.9739670405821012E-3</v>
      </c>
      <c r="AK44" s="28">
        <f t="shared" si="3"/>
        <v>7.9479340811642025</v>
      </c>
      <c r="AL44" s="15"/>
      <c r="AM44" s="27">
        <v>59</v>
      </c>
      <c r="AN44" s="28">
        <v>2000</v>
      </c>
      <c r="AO44" s="29">
        <f>(((1+'[1]part d_b'!$B$2)^($Z$53-AM44+1)))</f>
        <v>3.9739670405821012E-3</v>
      </c>
      <c r="AP44" s="28">
        <f t="shared" si="4"/>
        <v>7.9479340811642025</v>
      </c>
    </row>
    <row r="45" spans="11:42" ht="15.75" x14ac:dyDescent="0.25">
      <c r="K45" s="15"/>
      <c r="L45" s="23">
        <v>64</v>
      </c>
      <c r="M45" s="24">
        <v>2000</v>
      </c>
      <c r="N45" s="25">
        <f t="shared" si="0"/>
        <v>1</v>
      </c>
      <c r="O45" s="24">
        <f t="shared" si="1"/>
        <v>2000</v>
      </c>
      <c r="Q45" s="15"/>
      <c r="R45" s="27">
        <v>60</v>
      </c>
      <c r="S45" s="28">
        <v>2000</v>
      </c>
      <c r="T45" s="29">
        <f>(((1+'[1]Part b'!$B$2)^($G$53-R45)))</f>
        <v>3.2842702814728101E-3</v>
      </c>
      <c r="U45" s="28">
        <f t="shared" si="2"/>
        <v>6.5685405629456204</v>
      </c>
      <c r="AG45" s="15"/>
      <c r="AH45" s="27">
        <v>60</v>
      </c>
      <c r="AI45" s="28">
        <v>2000</v>
      </c>
      <c r="AJ45" s="29">
        <f>(((1+'[1]part d_a'!$B$2)^($U$53-AH45+1)))</f>
        <v>3.6126973096200906E-3</v>
      </c>
      <c r="AK45" s="28">
        <f t="shared" si="3"/>
        <v>7.2253946192401814</v>
      </c>
      <c r="AL45" s="15"/>
      <c r="AM45" s="27">
        <v>60</v>
      </c>
      <c r="AN45" s="28">
        <v>2000</v>
      </c>
      <c r="AO45" s="29">
        <f>(((1+'[1]part d_b'!$B$2)^($Z$53-AM45+1)))</f>
        <v>3.6126973096200906E-3</v>
      </c>
      <c r="AP45" s="28">
        <f t="shared" si="4"/>
        <v>7.2253946192401814</v>
      </c>
    </row>
    <row r="46" spans="11:42" ht="15.75" x14ac:dyDescent="0.25">
      <c r="K46" s="15"/>
      <c r="L46" s="23">
        <v>65</v>
      </c>
      <c r="M46" s="24">
        <v>2000</v>
      </c>
      <c r="N46" s="25">
        <f t="shared" si="0"/>
        <v>1</v>
      </c>
      <c r="O46" s="24">
        <f t="shared" si="1"/>
        <v>2000</v>
      </c>
      <c r="Q46" s="15"/>
      <c r="R46" s="27">
        <v>61</v>
      </c>
      <c r="S46" s="28">
        <v>2000</v>
      </c>
      <c r="T46" s="29">
        <f>(((1+'[1]Part b'!$B$2)^($G$53-R46)))</f>
        <v>2.9857002558843723E-3</v>
      </c>
      <c r="U46" s="28">
        <f t="shared" si="2"/>
        <v>5.9714005117687448</v>
      </c>
      <c r="AG46" s="15"/>
      <c r="AH46" s="27">
        <v>61</v>
      </c>
      <c r="AI46" s="28">
        <v>2000</v>
      </c>
      <c r="AJ46" s="29">
        <f>(((1+'[1]part d_a'!$B$2)^($U$53-AH46+1)))</f>
        <v>3.2842702814728101E-3</v>
      </c>
      <c r="AK46" s="28">
        <f t="shared" si="3"/>
        <v>6.5685405629456204</v>
      </c>
      <c r="AL46" s="15"/>
      <c r="AM46" s="27">
        <v>61</v>
      </c>
      <c r="AN46" s="28">
        <v>2000</v>
      </c>
      <c r="AO46" s="29">
        <f>(((1+'[1]part d_b'!$B$2)^($Z$53-AM46+1)))</f>
        <v>3.2842702814728101E-3</v>
      </c>
      <c r="AP46" s="28">
        <f t="shared" si="4"/>
        <v>6.5685405629456204</v>
      </c>
    </row>
    <row r="47" spans="11:42" ht="15.75" x14ac:dyDescent="0.25">
      <c r="K47" s="15"/>
      <c r="L47" s="44" t="s">
        <v>73</v>
      </c>
      <c r="M47" s="44"/>
      <c r="N47" s="44"/>
      <c r="O47" s="26">
        <f>SUM(O6:O46)</f>
        <v>82000</v>
      </c>
      <c r="Q47" s="15"/>
      <c r="R47" s="27">
        <v>62</v>
      </c>
      <c r="S47" s="28">
        <v>2000</v>
      </c>
      <c r="T47" s="29">
        <f>(((1+'[1]Part b'!$B$2)^($G$53-R47)))</f>
        <v>2.7142729598948834E-3</v>
      </c>
      <c r="U47" s="28">
        <f t="shared" si="2"/>
        <v>5.4285459197897667</v>
      </c>
      <c r="AG47" s="15"/>
      <c r="AH47" s="27">
        <v>62</v>
      </c>
      <c r="AI47" s="28">
        <v>2000</v>
      </c>
      <c r="AJ47" s="29">
        <f>(((1+'[1]part d_a'!$B$2)^($U$53-AH47+1)))</f>
        <v>2.9857002558843723E-3</v>
      </c>
      <c r="AK47" s="28">
        <f t="shared" si="3"/>
        <v>5.9714005117687448</v>
      </c>
      <c r="AL47" s="15"/>
      <c r="AM47" s="27">
        <v>62</v>
      </c>
      <c r="AN47" s="28">
        <v>2000</v>
      </c>
      <c r="AO47" s="29">
        <f>(((1+'[1]part d_b'!$B$2)^($Z$53-AM47+1)))</f>
        <v>2.9857002558843723E-3</v>
      </c>
      <c r="AP47" s="28">
        <f t="shared" si="4"/>
        <v>5.9714005117687448</v>
      </c>
    </row>
    <row r="48" spans="11:42" ht="15.75" x14ac:dyDescent="0.25">
      <c r="K48" s="15"/>
      <c r="Q48" s="15"/>
      <c r="R48" s="27">
        <v>63</v>
      </c>
      <c r="S48" s="28">
        <v>2000</v>
      </c>
      <c r="T48" s="29">
        <f>(((1+'[1]Part b'!$B$2)^($G$53-R48)))</f>
        <v>2.4675208726317125E-3</v>
      </c>
      <c r="U48" s="28">
        <f t="shared" si="2"/>
        <v>4.9350417452634252</v>
      </c>
      <c r="AG48" s="15"/>
      <c r="AH48" s="27">
        <v>63</v>
      </c>
      <c r="AI48" s="28">
        <v>2000</v>
      </c>
      <c r="AJ48" s="29">
        <f>(((1+'[1]part d_a'!$B$2)^($U$53-AH48+1)))</f>
        <v>2.7142729598948834E-3</v>
      </c>
      <c r="AK48" s="28">
        <f t="shared" si="3"/>
        <v>5.4285459197897667</v>
      </c>
      <c r="AL48" s="15"/>
      <c r="AM48" s="27">
        <v>63</v>
      </c>
      <c r="AN48" s="28">
        <v>2000</v>
      </c>
      <c r="AO48" s="29">
        <f>(((1+'[1]part d_b'!$B$2)^($Z$53-AM48+1)))</f>
        <v>2.7142729598948834E-3</v>
      </c>
      <c r="AP48" s="28">
        <f t="shared" si="4"/>
        <v>5.4285459197897667</v>
      </c>
    </row>
    <row r="49" spans="11:42" ht="15.75" x14ac:dyDescent="0.25">
      <c r="K49" s="15"/>
      <c r="Q49" s="15"/>
      <c r="R49" s="27">
        <v>64</v>
      </c>
      <c r="S49" s="28">
        <v>2000</v>
      </c>
      <c r="T49" s="29">
        <f>(((1+'[1]Part b'!$B$2)^($G$53-R49)))</f>
        <v>2.2432007933015567E-3</v>
      </c>
      <c r="U49" s="28">
        <f t="shared" si="2"/>
        <v>4.4864015866031135</v>
      </c>
      <c r="AG49" s="15"/>
      <c r="AH49" s="27">
        <v>64</v>
      </c>
      <c r="AI49" s="28">
        <v>2000</v>
      </c>
      <c r="AJ49" s="29">
        <f>(((1+'[1]part d_a'!$B$2)^($U$53-AH49+1)))</f>
        <v>2.4675208726317125E-3</v>
      </c>
      <c r="AK49" s="28">
        <f t="shared" si="3"/>
        <v>4.9350417452634252</v>
      </c>
      <c r="AL49" s="15"/>
      <c r="AM49" s="27">
        <v>64</v>
      </c>
      <c r="AN49" s="28">
        <v>2000</v>
      </c>
      <c r="AO49" s="29">
        <f>(((1+'[1]part d_b'!$B$2)^($Z$53-AM49+1)))</f>
        <v>2.4675208726317125E-3</v>
      </c>
      <c r="AP49" s="28">
        <f t="shared" si="4"/>
        <v>4.9350417452634252</v>
      </c>
    </row>
    <row r="50" spans="11:42" ht="15.75" x14ac:dyDescent="0.25">
      <c r="Q50" s="15"/>
      <c r="R50" s="27">
        <v>65</v>
      </c>
      <c r="S50" s="28">
        <v>2000</v>
      </c>
      <c r="T50" s="29">
        <f>(((1+'[1]Part b'!$B$2)^($G$53-R50)))</f>
        <v>2.0392734484559606E-3</v>
      </c>
      <c r="U50" s="28">
        <f t="shared" si="2"/>
        <v>4.078546896911921</v>
      </c>
      <c r="AG50" s="15"/>
      <c r="AH50" s="27">
        <v>65</v>
      </c>
      <c r="AI50" s="28">
        <v>2000</v>
      </c>
      <c r="AJ50" s="29">
        <f>(((1+'[1]part d_a'!$B$2)^($U$53-AH50+1)))</f>
        <v>2.2432007933015567E-3</v>
      </c>
      <c r="AK50" s="28">
        <f t="shared" si="3"/>
        <v>4.4864015866031135</v>
      </c>
      <c r="AL50" s="15"/>
      <c r="AM50" s="27">
        <v>65</v>
      </c>
      <c r="AN50" s="28">
        <v>2000</v>
      </c>
      <c r="AO50" s="29">
        <f>(((1+'[1]part d_b'!$B$2)^($Z$53-AM50+1)))</f>
        <v>2.2432007933015567E-3</v>
      </c>
      <c r="AP50" s="28">
        <f t="shared" si="4"/>
        <v>4.4864015866031135</v>
      </c>
    </row>
    <row r="51" spans="11:42" ht="15.75" x14ac:dyDescent="0.25">
      <c r="Q51" s="15"/>
      <c r="R51" s="44" t="s">
        <v>73</v>
      </c>
      <c r="S51" s="44"/>
      <c r="T51" s="44"/>
      <c r="U51" s="30">
        <f>SUM(U10:U50)</f>
        <v>742.06479127496118</v>
      </c>
      <c r="AG51" s="15"/>
      <c r="AH51" s="44" t="s">
        <v>73</v>
      </c>
      <c r="AI51" s="44"/>
      <c r="AJ51" s="44"/>
      <c r="AK51" s="30">
        <f>SUM(AK10:AK50)</f>
        <v>2188.6991400189177</v>
      </c>
      <c r="AL51" s="34"/>
      <c r="AM51" s="44" t="s">
        <v>73</v>
      </c>
      <c r="AN51" s="44"/>
      <c r="AO51" s="44"/>
      <c r="AP51" s="30">
        <f>SUM(AP10:AP50)</f>
        <v>816.27127040245739</v>
      </c>
    </row>
    <row r="52" spans="11:42" ht="15.75" x14ac:dyDescent="0.25">
      <c r="AG52" s="15"/>
      <c r="AL52" s="15"/>
    </row>
    <row r="53" spans="11:42" ht="15.75" x14ac:dyDescent="0.25">
      <c r="AG53" s="15"/>
      <c r="AJ53" t="s">
        <v>86</v>
      </c>
      <c r="AL53" s="15"/>
    </row>
  </sheetData>
  <mergeCells count="8">
    <mergeCell ref="AM6:AP6"/>
    <mergeCell ref="AH51:AJ51"/>
    <mergeCell ref="AM51:AO51"/>
    <mergeCell ref="L2:O2"/>
    <mergeCell ref="L47:N47"/>
    <mergeCell ref="R6:U6"/>
    <mergeCell ref="R51:T51"/>
    <mergeCell ref="AH6:A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6E80-1171-4D45-80D4-E3715A275D6A}">
  <dimension ref="A1:N10"/>
  <sheetViews>
    <sheetView topLeftCell="F1" workbookViewId="0">
      <selection activeCell="J12" sqref="J12"/>
    </sheetView>
  </sheetViews>
  <sheetFormatPr defaultRowHeight="15" x14ac:dyDescent="0.25"/>
  <cols>
    <col min="10" max="10" width="87.7109375" bestFit="1" customWidth="1"/>
    <col min="12" max="13" width="18.28515625" customWidth="1"/>
  </cols>
  <sheetData>
    <row r="1" spans="1:14" x14ac:dyDescent="0.25">
      <c r="A1" s="13" t="s">
        <v>87</v>
      </c>
    </row>
    <row r="2" spans="1:14" x14ac:dyDescent="0.25">
      <c r="A2" s="13" t="s">
        <v>88</v>
      </c>
      <c r="J2" t="s">
        <v>96</v>
      </c>
      <c r="L2" s="45" t="s">
        <v>102</v>
      </c>
      <c r="M2" s="45"/>
    </row>
    <row r="3" spans="1:14" x14ac:dyDescent="0.25">
      <c r="A3" s="13" t="s">
        <v>89</v>
      </c>
      <c r="J3" t="s">
        <v>97</v>
      </c>
      <c r="L3" s="37" t="s">
        <v>101</v>
      </c>
      <c r="M3" s="37" t="s">
        <v>103</v>
      </c>
    </row>
    <row r="4" spans="1:14" x14ac:dyDescent="0.25">
      <c r="A4" s="13" t="s">
        <v>90</v>
      </c>
      <c r="J4" s="12">
        <f>24000*(1+0.07)^5</f>
        <v>33661.241536800007</v>
      </c>
      <c r="L4">
        <v>1</v>
      </c>
      <c r="M4">
        <v>2000</v>
      </c>
    </row>
    <row r="5" spans="1:14" x14ac:dyDescent="0.25">
      <c r="A5" s="13" t="s">
        <v>91</v>
      </c>
      <c r="J5" s="11"/>
      <c r="L5">
        <v>2</v>
      </c>
      <c r="M5">
        <v>4000</v>
      </c>
    </row>
    <row r="6" spans="1:14" x14ac:dyDescent="0.25">
      <c r="A6" s="13" t="s">
        <v>92</v>
      </c>
      <c r="J6" s="11" t="s">
        <v>98</v>
      </c>
      <c r="L6">
        <v>3</v>
      </c>
      <c r="M6">
        <v>6000</v>
      </c>
    </row>
    <row r="7" spans="1:14" x14ac:dyDescent="0.25">
      <c r="A7" s="13" t="s">
        <v>93</v>
      </c>
      <c r="J7" s="11" t="s">
        <v>99</v>
      </c>
      <c r="L7">
        <v>4</v>
      </c>
      <c r="M7">
        <v>8000</v>
      </c>
    </row>
    <row r="8" spans="1:14" x14ac:dyDescent="0.25">
      <c r="A8" s="13" t="s">
        <v>94</v>
      </c>
      <c r="J8" s="12">
        <f xml:space="preserve"> 2000*(1+0.07)^5 +4000*(1+0.07)^4 +6000*(1+0.07)^3 +8000*(1+0.07)^2 +10000*(1+0.07)^1</f>
        <v>35257.745501400001</v>
      </c>
      <c r="L8">
        <v>5</v>
      </c>
      <c r="M8" s="38">
        <v>10000</v>
      </c>
    </row>
    <row r="9" spans="1:14" x14ac:dyDescent="0.25">
      <c r="A9" s="13" t="s">
        <v>95</v>
      </c>
      <c r="J9" s="11"/>
    </row>
    <row r="10" spans="1:14" x14ac:dyDescent="0.25">
      <c r="J10" s="11" t="s">
        <v>100</v>
      </c>
      <c r="K10" s="36"/>
      <c r="L10" s="36"/>
      <c r="M10" s="36"/>
      <c r="N10" s="36"/>
    </row>
  </sheetData>
  <mergeCells count="1">
    <mergeCell ref="L2:M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71D7-5CA2-43E8-8031-C9F2B4A1B6EE}">
  <dimension ref="A1:L38"/>
  <sheetViews>
    <sheetView tabSelected="1" topLeftCell="A18" workbookViewId="0">
      <selection activeCell="D8" sqref="D8"/>
    </sheetView>
  </sheetViews>
  <sheetFormatPr defaultRowHeight="15" x14ac:dyDescent="0.25"/>
  <cols>
    <col min="1" max="1" width="74.42578125" bestFit="1" customWidth="1"/>
    <col min="9" max="9" width="18.42578125" customWidth="1"/>
    <col min="10" max="10" width="18.140625" customWidth="1"/>
    <col min="11" max="11" width="18.28515625" customWidth="1"/>
    <col min="12" max="12" width="18.42578125" customWidth="1"/>
  </cols>
  <sheetData>
    <row r="1" spans="1:1" x14ac:dyDescent="0.25">
      <c r="A1" s="13" t="s">
        <v>126</v>
      </c>
    </row>
    <row r="2" spans="1:1" x14ac:dyDescent="0.25">
      <c r="A2" s="13" t="s">
        <v>127</v>
      </c>
    </row>
    <row r="3" spans="1:1" x14ac:dyDescent="0.25">
      <c r="A3" s="13" t="s">
        <v>128</v>
      </c>
    </row>
    <row r="4" spans="1:1" x14ac:dyDescent="0.25">
      <c r="A4" s="13"/>
    </row>
    <row r="5" spans="1:1" x14ac:dyDescent="0.25">
      <c r="A5" s="14" t="s">
        <v>129</v>
      </c>
    </row>
    <row r="6" spans="1:1" x14ac:dyDescent="0.25">
      <c r="A6" s="13" t="s">
        <v>130</v>
      </c>
    </row>
    <row r="7" spans="1:1" x14ac:dyDescent="0.25">
      <c r="A7" s="13" t="s">
        <v>131</v>
      </c>
    </row>
    <row r="8" spans="1:1" x14ac:dyDescent="0.25">
      <c r="A8" s="13"/>
    </row>
    <row r="9" spans="1:1" x14ac:dyDescent="0.25">
      <c r="A9" s="14" t="s">
        <v>132</v>
      </c>
    </row>
    <row r="10" spans="1:1" x14ac:dyDescent="0.25">
      <c r="A10" s="13"/>
    </row>
    <row r="11" spans="1:1" x14ac:dyDescent="0.25">
      <c r="A11" s="14" t="s">
        <v>133</v>
      </c>
    </row>
    <row r="12" spans="1:1" x14ac:dyDescent="0.25">
      <c r="A12" s="13" t="s">
        <v>114</v>
      </c>
    </row>
    <row r="13" spans="1:1" x14ac:dyDescent="0.25">
      <c r="A13" s="13"/>
    </row>
    <row r="14" spans="1:1" x14ac:dyDescent="0.25">
      <c r="A14" s="14" t="s">
        <v>134</v>
      </c>
    </row>
    <row r="15" spans="1:1" x14ac:dyDescent="0.25">
      <c r="A15" s="13" t="s">
        <v>116</v>
      </c>
    </row>
    <row r="17" spans="1:12" ht="15.75" x14ac:dyDescent="0.25">
      <c r="A17" s="60">
        <f>2000*(1+0.08)^10</f>
        <v>4317.8499945455751</v>
      </c>
      <c r="B17" s="46" t="s">
        <v>104</v>
      </c>
      <c r="H17" s="47" t="s">
        <v>115</v>
      </c>
      <c r="I17" s="47"/>
      <c r="J17" s="47"/>
      <c r="K17" s="47"/>
      <c r="L17" s="47"/>
    </row>
    <row r="18" spans="1:12" x14ac:dyDescent="0.25">
      <c r="A18" s="36"/>
      <c r="H18" s="47" t="s">
        <v>116</v>
      </c>
      <c r="I18" s="47"/>
      <c r="J18" s="47"/>
      <c r="K18" s="47"/>
      <c r="L18" s="47"/>
    </row>
    <row r="19" spans="1:12" ht="15.75" x14ac:dyDescent="0.25">
      <c r="A19" s="60">
        <f>2000*(1+0.04)^20</f>
        <v>4382.2462860668429</v>
      </c>
      <c r="B19" s="46" t="s">
        <v>105</v>
      </c>
      <c r="H19" s="47"/>
      <c r="I19" s="47"/>
      <c r="J19" s="47"/>
      <c r="K19" s="47"/>
      <c r="L19" s="47"/>
    </row>
    <row r="20" spans="1:12" ht="31.5" x14ac:dyDescent="0.25">
      <c r="A20" s="36"/>
      <c r="H20" s="48" t="s">
        <v>117</v>
      </c>
      <c r="I20" s="48" t="s">
        <v>118</v>
      </c>
      <c r="J20" s="48" t="s">
        <v>119</v>
      </c>
      <c r="K20" s="48" t="s">
        <v>120</v>
      </c>
      <c r="L20" s="48" t="s">
        <v>121</v>
      </c>
    </row>
    <row r="21" spans="1:12" ht="15.75" x14ac:dyDescent="0.25">
      <c r="A21" s="61">
        <f>2000*(1+0.00021918)^3650</f>
        <v>4450.7228473855284</v>
      </c>
      <c r="B21" s="46" t="s">
        <v>106</v>
      </c>
      <c r="F21">
        <f>0.08/365</f>
        <v>2.1917808219178083E-4</v>
      </c>
      <c r="H21" s="49" t="s">
        <v>122</v>
      </c>
      <c r="I21" s="50">
        <v>4317.8500000000004</v>
      </c>
      <c r="J21" s="50">
        <v>4382.25</v>
      </c>
      <c r="K21" s="50">
        <v>4450.6899999999996</v>
      </c>
      <c r="L21" s="50">
        <v>4451.08</v>
      </c>
    </row>
    <row r="22" spans="1:12" ht="15.75" x14ac:dyDescent="0.25">
      <c r="A22" s="36"/>
      <c r="H22" s="49" t="s">
        <v>123</v>
      </c>
      <c r="I22" s="51">
        <v>0.08</v>
      </c>
      <c r="J22" s="52">
        <v>8.1600000000000006E-2</v>
      </c>
      <c r="K22" s="52">
        <v>8.3280000000000007E-2</v>
      </c>
      <c r="L22" s="52">
        <v>8.3290000000000003E-2</v>
      </c>
    </row>
    <row r="23" spans="1:12" ht="31.5" x14ac:dyDescent="0.25">
      <c r="A23" s="61">
        <f>2000*EXP(0.08*10)</f>
        <v>4451.0818569849362</v>
      </c>
      <c r="B23" s="46" t="s">
        <v>107</v>
      </c>
      <c r="H23" s="49" t="s">
        <v>124</v>
      </c>
      <c r="I23" s="53">
        <v>0</v>
      </c>
      <c r="J23" s="50">
        <f>J21-I21</f>
        <v>64.399999999999636</v>
      </c>
      <c r="K23" s="50">
        <f>K21-I21</f>
        <v>132.83999999999924</v>
      </c>
      <c r="L23" s="50">
        <f>L21-I21</f>
        <v>133.22999999999956</v>
      </c>
    </row>
    <row r="24" spans="1:12" x14ac:dyDescent="0.25">
      <c r="H24" s="36"/>
      <c r="I24" s="36"/>
      <c r="J24" s="36"/>
      <c r="K24" s="36"/>
      <c r="L24" s="36"/>
    </row>
    <row r="25" spans="1:12" ht="15.75" x14ac:dyDescent="0.25">
      <c r="A25" s="47" t="s">
        <v>108</v>
      </c>
      <c r="H25" s="54" t="s">
        <v>125</v>
      </c>
      <c r="I25" s="36"/>
      <c r="J25" s="55"/>
      <c r="K25" s="36"/>
      <c r="L25" s="36"/>
    </row>
    <row r="27" spans="1:12" ht="15.75" x14ac:dyDescent="0.25">
      <c r="A27" s="56">
        <f>((1+0.08/1)^1)-1</f>
        <v>8.0000000000000071E-2</v>
      </c>
      <c r="B27" s="46" t="s">
        <v>109</v>
      </c>
    </row>
    <row r="28" spans="1:12" x14ac:dyDescent="0.25">
      <c r="A28" s="36"/>
    </row>
    <row r="29" spans="1:12" ht="15.75" x14ac:dyDescent="0.25">
      <c r="A29" s="57">
        <f>((1+0.08/2)^2)-1</f>
        <v>8.1600000000000117E-2</v>
      </c>
      <c r="B29" s="46" t="s">
        <v>110</v>
      </c>
    </row>
    <row r="30" spans="1:12" x14ac:dyDescent="0.25">
      <c r="A30" s="36"/>
    </row>
    <row r="31" spans="1:12" ht="15.75" x14ac:dyDescent="0.25">
      <c r="A31" s="58">
        <f>((1+0.08/365)^365)-1</f>
        <v>8.3277571792814031E-2</v>
      </c>
      <c r="B31" s="46" t="s">
        <v>111</v>
      </c>
    </row>
    <row r="32" spans="1:12" x14ac:dyDescent="0.25">
      <c r="A32" s="36"/>
    </row>
    <row r="33" spans="1:2" ht="15.75" x14ac:dyDescent="0.25">
      <c r="A33" s="58">
        <f>EXP(0.08)-1</f>
        <v>8.3287067674958637E-2</v>
      </c>
      <c r="B33" s="46" t="s">
        <v>112</v>
      </c>
    </row>
    <row r="35" spans="1:2" x14ac:dyDescent="0.25">
      <c r="A35" s="47" t="s">
        <v>113</v>
      </c>
    </row>
    <row r="36" spans="1:2" x14ac:dyDescent="0.25">
      <c r="A36" s="47" t="s">
        <v>114</v>
      </c>
    </row>
    <row r="38" spans="1:2" x14ac:dyDescent="0.25">
      <c r="A38" s="59">
        <f>A23-A17</f>
        <v>133.23186243936107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P5-2</vt:lpstr>
      <vt:lpstr>P5-6</vt:lpstr>
      <vt:lpstr>P5-14</vt:lpstr>
      <vt:lpstr>P5-22</vt:lpstr>
      <vt:lpstr>P5-29</vt:lpstr>
      <vt:lpstr>P5-39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2019-02-11T06:13:26Z</dcterms:created>
  <dcterms:modified xsi:type="dcterms:W3CDTF">2019-02-11T07:09:35Z</dcterms:modified>
</cp:coreProperties>
</file>